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6360" windowWidth="28860" windowHeight="6420" tabRatio="831"/>
  </bookViews>
  <sheets>
    <sheet name="módosítás II.fordulóra" sheetId="117" r:id="rId1"/>
    <sheet name="Tartalomjegyzék" sheetId="98" r:id="rId2"/>
    <sheet name="1.mell._Össz_Mérleg2020" sheetId="61" r:id="rId3"/>
    <sheet name="1.1.mell._ÖNK_Mérleg2020" sheetId="64" r:id="rId4"/>
    <sheet name="1.2.mell._HKÖH_Mérleg2020" sheetId="65" r:id="rId5"/>
    <sheet name="1.3.mell._HVÓBKI_Mérleg2020" sheetId="66" r:id="rId6"/>
    <sheet name="1.4.mell._HKK_Mérleg2020" sheetId="67" r:id="rId7"/>
    <sheet name="1.5._mell._MŐSZ_Mérleg2020" sheetId="97" r:id="rId8"/>
    <sheet name="1.6._mell._HVGYKCSSZ_Mérleg2020" sheetId="109" r:id="rId9"/>
    <sheet name="2.a.mell._MMérleg2020" sheetId="68" r:id="rId10"/>
    <sheet name="2.b.mell._FMérleg2020" sheetId="69" r:id="rId11"/>
    <sheet name="3. mell._létszám2020" sheetId="70" r:id="rId12"/>
    <sheet name="4. mell. EUprojektek2020" sheetId="116" r:id="rId13"/>
    <sheet name="5.mell_adósság2020" sheetId="72" r:id="rId14"/>
    <sheet name="6.mell_Többévesköt.2020" sheetId="73" r:id="rId15"/>
    <sheet name="7. mell_KözvetettTám2020" sheetId="74" r:id="rId16"/>
    <sheet name="8.mell_EIfelhterv2020" sheetId="75" r:id="rId17"/>
    <sheet name="9.mell_ÖsszMérleg(telj)2020" sheetId="76" r:id="rId18"/>
    <sheet name="10.mell_támogatások2020" sheetId="77" r:id="rId19"/>
    <sheet name="11.mell_felhKiad2020" sheetId="78" r:id="rId20"/>
    <sheet name="12.mell_céltámogatások2020" sheetId="79" r:id="rId21"/>
    <sheet name="13.mell_ÖNKfeladatok2020" sheetId="84" r:id="rId22"/>
    <sheet name="14.mell_Önk kiegészítés2020" sheetId="85" r:id="rId23"/>
    <sheet name="15.mell_Tartozások2020" sheetId="88" r:id="rId24"/>
    <sheet name="16.mell_Étkezésdíj2020" sheetId="89" r:id="rId25"/>
    <sheet name="1.függVárosüzem2020" sheetId="91" r:id="rId26"/>
    <sheet name="2.függ_adósság2019 (határozat)" sheetId="90" r:id="rId27"/>
  </sheets>
  <externalReferences>
    <externalReference r:id="rId28"/>
    <externalReference r:id="rId29"/>
  </externalReferences>
  <definedNames>
    <definedName name="kst" localSheetId="0">#REF!</definedName>
    <definedName name="kst">#REF!</definedName>
    <definedName name="nev">[1]kod!$CD$8:$CD$3150</definedName>
    <definedName name="_xlnm.Print_Titles" localSheetId="18">'10.mell_támogatások2020'!$6:$7</definedName>
    <definedName name="_xlnm.Print_Titles" localSheetId="21">'13.mell_ÖNKfeladatok2020'!$A:$F,'13.mell_ÖNKfeladatok2020'!$165:$167</definedName>
    <definedName name="_xlnm.Print_Titles" localSheetId="22">'14.mell_Önk kiegészítés2020'!$B:$B</definedName>
    <definedName name="_xlnm.Print_Titles" localSheetId="0">'módosítás II.fordulóra'!$5:$7</definedName>
    <definedName name="_xlnm.Print_Area" localSheetId="3">'1.1.mell._ÖNK_Mérleg2020'!$A$1:$F$242</definedName>
    <definedName name="_xlnm.Print_Area" localSheetId="4">'1.2.mell._HKÖH_Mérleg2020'!$A$1:$F$242</definedName>
    <definedName name="_xlnm.Print_Area" localSheetId="5">'1.3.mell._HVÓBKI_Mérleg2020'!$A$1:$F$242</definedName>
    <definedName name="_xlnm.Print_Area" localSheetId="6">'1.4.mell._HKK_Mérleg2020'!$A$1:$F$242</definedName>
    <definedName name="_xlnm.Print_Area" localSheetId="7">'1.5._mell._MŐSZ_Mérleg2020'!$A$1:$F$242</definedName>
    <definedName name="_xlnm.Print_Area" localSheetId="8">'1.6._mell._HVGYKCSSZ_Mérleg2020'!$A$1:$F$242</definedName>
    <definedName name="_xlnm.Print_Area" localSheetId="25">'1.függVárosüzem2020'!$A$1:$F$122</definedName>
    <definedName name="_xlnm.Print_Area" localSheetId="2">'1.mell._Össz_Mérleg2020'!$A$1:$F$242</definedName>
    <definedName name="_xlnm.Print_Area" localSheetId="18">'10.mell_támogatások2020'!$A$1:$D$137</definedName>
    <definedName name="_xlnm.Print_Area" localSheetId="19">'11.mell_felhKiad2020'!$A$1:$G$90</definedName>
    <definedName name="_xlnm.Print_Area" localSheetId="20">'12.mell_céltámogatások2020'!$A$1:$D$33</definedName>
    <definedName name="_xlnm.Print_Area" localSheetId="21">'13.mell_ÖNKfeladatok2020'!$A$1:$Q$319</definedName>
    <definedName name="_xlnm.Print_Area" localSheetId="22">'14.mell_Önk kiegészítés2020'!$A$1:$W$72</definedName>
    <definedName name="_xlnm.Print_Area" localSheetId="24">'16.mell_Étkezésdíj2020'!$A$1:$F$23</definedName>
    <definedName name="_xlnm.Print_Area" localSheetId="9">'2.a.mell._MMérleg2020'!$A$1:$K$35</definedName>
    <definedName name="_xlnm.Print_Area" localSheetId="10">'2.b.mell._FMérleg2020'!$A$1:$K$35</definedName>
    <definedName name="_xlnm.Print_Area" localSheetId="26">'2.függ_adósság2019 (határozat)'!$A$1:$F$38</definedName>
    <definedName name="_xlnm.Print_Area" localSheetId="11">'3. mell._létszám2020'!$A$1:$F$79</definedName>
    <definedName name="_xlnm.Print_Area" localSheetId="12">'4. mell. EUprojektek2020'!$A$1:$O$337</definedName>
    <definedName name="_xlnm.Print_Area" localSheetId="15">'7. mell_KözvetettTám2020'!$A$1:$D$25</definedName>
    <definedName name="_xlnm.Print_Area" localSheetId="16">'8.mell_EIfelhterv2020'!$A$1:$P$30</definedName>
    <definedName name="_xlnm.Print_Area" localSheetId="17">'9.mell_ÖsszMérleg(telj)2020'!$A$1:$E$242</definedName>
    <definedName name="_xlnm.Print_Area" localSheetId="0">'módosítás II.fordulóra'!$A$1:$AE$209</definedName>
    <definedName name="onev">[2]kod!$BT$34:$BT$3184</definedName>
  </definedNames>
  <calcPr calcId="125725"/>
</workbook>
</file>

<file path=xl/calcChain.xml><?xml version="1.0" encoding="utf-8"?>
<calcChain xmlns="http://schemas.openxmlformats.org/spreadsheetml/2006/main">
  <c r="D242" i="76"/>
  <c r="D239"/>
  <c r="W11" i="117" l="1"/>
  <c r="U117" l="1"/>
  <c r="T117" s="1"/>
  <c r="S117" s="1"/>
  <c r="AA117"/>
  <c r="N117"/>
  <c r="H117"/>
  <c r="G117" s="1"/>
  <c r="A117"/>
  <c r="U113"/>
  <c r="AB154"/>
  <c r="AB152"/>
  <c r="AB150"/>
  <c r="W154"/>
  <c r="W152"/>
  <c r="W150"/>
  <c r="AA27"/>
  <c r="T27"/>
  <c r="N27"/>
  <c r="H27"/>
  <c r="G27" s="1"/>
  <c r="T11"/>
  <c r="S11" s="1"/>
  <c r="AA41"/>
  <c r="T41"/>
  <c r="S41" s="1"/>
  <c r="N41"/>
  <c r="H41"/>
  <c r="AA23"/>
  <c r="T23"/>
  <c r="S23" s="1"/>
  <c r="N23"/>
  <c r="H23"/>
  <c r="AA18"/>
  <c r="T18"/>
  <c r="N18"/>
  <c r="H18"/>
  <c r="W44"/>
  <c r="T44" s="1"/>
  <c r="S44" s="1"/>
  <c r="AA44"/>
  <c r="N44"/>
  <c r="H44"/>
  <c r="G44" s="1"/>
  <c r="O7" i="75"/>
  <c r="O20"/>
  <c r="D81" i="77"/>
  <c r="H201" i="117"/>
  <c r="AA11"/>
  <c r="N11"/>
  <c r="H11"/>
  <c r="G11" s="1"/>
  <c r="AA37"/>
  <c r="T37"/>
  <c r="N37"/>
  <c r="H37"/>
  <c r="AC43"/>
  <c r="AB49"/>
  <c r="J16"/>
  <c r="R99"/>
  <c r="P52"/>
  <c r="T10"/>
  <c r="N10"/>
  <c r="H10"/>
  <c r="Y12"/>
  <c r="H200"/>
  <c r="Y73" s="1"/>
  <c r="AF117" l="1"/>
  <c r="G23"/>
  <c r="AF23" s="1"/>
  <c r="S18"/>
  <c r="S27"/>
  <c r="AF27" s="1"/>
  <c r="G41"/>
  <c r="AF41" s="1"/>
  <c r="G18"/>
  <c r="AF44"/>
  <c r="AF11"/>
  <c r="G37"/>
  <c r="S37"/>
  <c r="G10"/>
  <c r="AF37" l="1"/>
  <c r="AF18"/>
  <c r="D14" i="79"/>
  <c r="D16"/>
  <c r="D17" i="76" l="1"/>
  <c r="D134"/>
  <c r="D122"/>
  <c r="H207" i="117"/>
  <c r="V13" i="85"/>
  <c r="AE13"/>
  <c r="I7" i="75"/>
  <c r="N7"/>
  <c r="M7"/>
  <c r="L7"/>
  <c r="K7"/>
  <c r="J7"/>
  <c r="H7"/>
  <c r="G7"/>
  <c r="F7"/>
  <c r="E7"/>
  <c r="D7"/>
  <c r="N20"/>
  <c r="M20"/>
  <c r="L20"/>
  <c r="K20"/>
  <c r="J20"/>
  <c r="I20"/>
  <c r="H20"/>
  <c r="G20"/>
  <c r="F20"/>
  <c r="E20"/>
  <c r="D20"/>
  <c r="O19"/>
  <c r="O18"/>
  <c r="N19"/>
  <c r="M19"/>
  <c r="L19"/>
  <c r="K19"/>
  <c r="J19"/>
  <c r="I19"/>
  <c r="H19"/>
  <c r="G19"/>
  <c r="F19"/>
  <c r="E19"/>
  <c r="D19"/>
  <c r="N18"/>
  <c r="M18"/>
  <c r="L18"/>
  <c r="K18"/>
  <c r="J18"/>
  <c r="I18"/>
  <c r="H18"/>
  <c r="G18"/>
  <c r="F18"/>
  <c r="E18"/>
  <c r="D18"/>
  <c r="O9"/>
  <c r="N9"/>
  <c r="M9"/>
  <c r="L9"/>
  <c r="K9"/>
  <c r="J9"/>
  <c r="I9"/>
  <c r="H9"/>
  <c r="G9"/>
  <c r="F9"/>
  <c r="E9"/>
  <c r="D9"/>
  <c r="O8"/>
  <c r="F8"/>
  <c r="Z4"/>
  <c r="W4"/>
  <c r="O11"/>
  <c r="I11"/>
  <c r="O12"/>
  <c r="L12"/>
  <c r="I12"/>
  <c r="F12"/>
  <c r="O23"/>
  <c r="L23"/>
  <c r="I23"/>
  <c r="F23"/>
  <c r="O22"/>
  <c r="L22"/>
  <c r="I22"/>
  <c r="F22"/>
  <c r="O24"/>
  <c r="V22" i="85"/>
  <c r="U62"/>
  <c r="U44"/>
  <c r="U46"/>
  <c r="U45"/>
  <c r="D88" i="77"/>
  <c r="E42" i="73"/>
  <c r="H202" i="117" l="1"/>
  <c r="H199"/>
  <c r="H196" l="1"/>
  <c r="B30" i="78"/>
  <c r="B25"/>
  <c r="B24"/>
  <c r="H204" i="117"/>
  <c r="E24" i="78" l="1"/>
  <c r="E26"/>
  <c r="E25"/>
  <c r="B20"/>
  <c r="E20"/>
  <c r="E45"/>
  <c r="B45"/>
  <c r="E30"/>
  <c r="B23"/>
  <c r="E23"/>
  <c r="E13"/>
  <c r="B13"/>
  <c r="H205" i="117"/>
  <c r="F116" i="91"/>
  <c r="H206" i="117"/>
  <c r="F38" i="91" l="1"/>
  <c r="F110"/>
  <c r="F59"/>
  <c r="F33"/>
  <c r="F24"/>
  <c r="F26"/>
  <c r="F20"/>
  <c r="F18"/>
  <c r="F16"/>
  <c r="H203" i="117" l="1"/>
  <c r="F104" i="91" l="1"/>
  <c r="H116"/>
  <c r="H122"/>
  <c r="H120"/>
  <c r="H95"/>
  <c r="I95" s="1"/>
  <c r="F95"/>
  <c r="F94"/>
  <c r="F91"/>
  <c r="F90"/>
  <c r="H78"/>
  <c r="I78" s="1"/>
  <c r="H26"/>
  <c r="I26" s="1"/>
  <c r="H14"/>
  <c r="I14" s="1"/>
  <c r="AI22" i="85"/>
  <c r="AI13"/>
  <c r="L8" i="75" l="1"/>
  <c r="J8"/>
  <c r="H8"/>
  <c r="O13"/>
  <c r="O21"/>
  <c r="L26" i="78" l="1"/>
  <c r="M26" s="1"/>
  <c r="G26"/>
  <c r="D15" i="79" l="1"/>
  <c r="D13"/>
  <c r="B9" i="78" l="1"/>
  <c r="D9" i="79" l="1"/>
  <c r="L44" i="78"/>
  <c r="M44" s="1"/>
  <c r="G44"/>
  <c r="L43"/>
  <c r="M43" s="1"/>
  <c r="G43"/>
  <c r="L25"/>
  <c r="M25" s="1"/>
  <c r="G25"/>
  <c r="L33"/>
  <c r="M33" s="1"/>
  <c r="G33"/>
  <c r="L14"/>
  <c r="M14" s="1"/>
  <c r="G14"/>
  <c r="E9" l="1"/>
  <c r="C23" i="72" l="1"/>
  <c r="H43" i="73"/>
  <c r="D43"/>
  <c r="E43"/>
  <c r="D44"/>
  <c r="E44"/>
  <c r="E45"/>
  <c r="D45"/>
  <c r="C173" i="116"/>
  <c r="C248"/>
  <c r="D30" i="77" l="1"/>
  <c r="D27"/>
  <c r="F17" i="89" l="1"/>
  <c r="D17"/>
  <c r="D19"/>
  <c r="F15"/>
  <c r="D14"/>
  <c r="F11"/>
  <c r="D10"/>
  <c r="D9"/>
  <c r="L21"/>
  <c r="M21"/>
  <c r="L9"/>
  <c r="M9"/>
  <c r="L10"/>
  <c r="M10"/>
  <c r="L11"/>
  <c r="M11"/>
  <c r="L12"/>
  <c r="M12"/>
  <c r="L13"/>
  <c r="M13"/>
  <c r="L14"/>
  <c r="M14"/>
  <c r="L15"/>
  <c r="M15"/>
  <c r="L16"/>
  <c r="M16"/>
  <c r="L17"/>
  <c r="M17"/>
  <c r="L18"/>
  <c r="M18"/>
  <c r="L19"/>
  <c r="M19"/>
  <c r="L20"/>
  <c r="M20"/>
  <c r="M8"/>
  <c r="L8"/>
  <c r="D8"/>
  <c r="D132" i="77"/>
  <c r="D85"/>
  <c r="D94" s="1"/>
  <c r="D68"/>
  <c r="D54"/>
  <c r="D51"/>
  <c r="C242" i="76"/>
  <c r="D12" i="74" l="1"/>
  <c r="D23" i="72"/>
  <c r="I122" i="91" l="1"/>
  <c r="F7"/>
  <c r="D8" i="79"/>
  <c r="L13" i="78"/>
  <c r="M13" s="1"/>
  <c r="G13"/>
  <c r="I39" i="73"/>
  <c r="I27" l="1"/>
  <c r="I26"/>
  <c r="I25"/>
  <c r="I24"/>
  <c r="I23"/>
  <c r="I22"/>
  <c r="I21"/>
  <c r="I20"/>
  <c r="I19"/>
  <c r="I18"/>
  <c r="I17"/>
  <c r="Q326" i="116"/>
  <c r="Q325"/>
  <c r="Q324"/>
  <c r="Q323"/>
  <c r="Q322"/>
  <c r="Q321"/>
  <c r="Q320"/>
  <c r="Q319"/>
  <c r="Q315"/>
  <c r="Q314"/>
  <c r="Q313"/>
  <c r="Q312"/>
  <c r="Q311"/>
  <c r="N252"/>
  <c r="M252"/>
  <c r="L252"/>
  <c r="K252"/>
  <c r="K235" s="1"/>
  <c r="K241" s="1"/>
  <c r="J252"/>
  <c r="F252"/>
  <c r="E252"/>
  <c r="E235" s="1"/>
  <c r="E241" s="1"/>
  <c r="D252"/>
  <c r="D235" s="1"/>
  <c r="D241" s="1"/>
  <c r="C252"/>
  <c r="C235" s="1"/>
  <c r="C241" s="1"/>
  <c r="B252"/>
  <c r="O251"/>
  <c r="G251"/>
  <c r="O250"/>
  <c r="G250"/>
  <c r="O249"/>
  <c r="G249"/>
  <c r="O248"/>
  <c r="G248"/>
  <c r="O247"/>
  <c r="G247"/>
  <c r="O246"/>
  <c r="G246"/>
  <c r="O245"/>
  <c r="G245"/>
  <c r="O244"/>
  <c r="G244"/>
  <c r="O240"/>
  <c r="G240"/>
  <c r="O239"/>
  <c r="G239"/>
  <c r="O238"/>
  <c r="G238"/>
  <c r="O237"/>
  <c r="G237"/>
  <c r="O236"/>
  <c r="G236"/>
  <c r="N235"/>
  <c r="N241" s="1"/>
  <c r="M235"/>
  <c r="M241" s="1"/>
  <c r="L235"/>
  <c r="L241" s="1"/>
  <c r="J235"/>
  <c r="J241" s="1"/>
  <c r="F235"/>
  <c r="F241" s="1"/>
  <c r="B235"/>
  <c r="B241" s="1"/>
  <c r="N277"/>
  <c r="M277"/>
  <c r="L277"/>
  <c r="K277"/>
  <c r="K260" s="1"/>
  <c r="K266" s="1"/>
  <c r="J277"/>
  <c r="F277"/>
  <c r="F260" s="1"/>
  <c r="F266" s="1"/>
  <c r="E277"/>
  <c r="E260" s="1"/>
  <c r="E266" s="1"/>
  <c r="D277"/>
  <c r="D260" s="1"/>
  <c r="D266" s="1"/>
  <c r="C277"/>
  <c r="C260" s="1"/>
  <c r="C266" s="1"/>
  <c r="B277"/>
  <c r="O276"/>
  <c r="G276"/>
  <c r="O275"/>
  <c r="G275"/>
  <c r="O274"/>
  <c r="G274"/>
  <c r="O273"/>
  <c r="G273"/>
  <c r="O272"/>
  <c r="G272"/>
  <c r="O271"/>
  <c r="G271"/>
  <c r="O270"/>
  <c r="G270"/>
  <c r="O269"/>
  <c r="G269"/>
  <c r="O265"/>
  <c r="G265"/>
  <c r="O264"/>
  <c r="G264"/>
  <c r="O263"/>
  <c r="G263"/>
  <c r="O262"/>
  <c r="G262"/>
  <c r="O261"/>
  <c r="G261"/>
  <c r="N260"/>
  <c r="N266" s="1"/>
  <c r="M260"/>
  <c r="M266" s="1"/>
  <c r="L260"/>
  <c r="L266" s="1"/>
  <c r="J260"/>
  <c r="J266" s="1"/>
  <c r="B260"/>
  <c r="B266" s="1"/>
  <c r="N177"/>
  <c r="N160" s="1"/>
  <c r="N166" s="1"/>
  <c r="M177"/>
  <c r="L177"/>
  <c r="K177"/>
  <c r="K160" s="1"/>
  <c r="K166" s="1"/>
  <c r="J177"/>
  <c r="J160" s="1"/>
  <c r="J166" s="1"/>
  <c r="F177"/>
  <c r="E177"/>
  <c r="E160" s="1"/>
  <c r="E166" s="1"/>
  <c r="D177"/>
  <c r="D160" s="1"/>
  <c r="D166" s="1"/>
  <c r="C177"/>
  <c r="B177"/>
  <c r="O176"/>
  <c r="G176"/>
  <c r="O175"/>
  <c r="G175"/>
  <c r="O174"/>
  <c r="G174"/>
  <c r="O173"/>
  <c r="G173"/>
  <c r="O172"/>
  <c r="G172"/>
  <c r="O171"/>
  <c r="G171"/>
  <c r="O170"/>
  <c r="G170"/>
  <c r="O169"/>
  <c r="G169"/>
  <c r="O165"/>
  <c r="G165"/>
  <c r="O164"/>
  <c r="G164"/>
  <c r="O163"/>
  <c r="G163"/>
  <c r="O162"/>
  <c r="G162"/>
  <c r="O161"/>
  <c r="G161"/>
  <c r="M160"/>
  <c r="M166" s="1"/>
  <c r="L160"/>
  <c r="L166" s="1"/>
  <c r="F160"/>
  <c r="F166" s="1"/>
  <c r="C160"/>
  <c r="C166" s="1"/>
  <c r="B160"/>
  <c r="B166" s="1"/>
  <c r="N202"/>
  <c r="M202"/>
  <c r="L202"/>
  <c r="K202"/>
  <c r="K185" s="1"/>
  <c r="K191" s="1"/>
  <c r="J202"/>
  <c r="F202"/>
  <c r="E202"/>
  <c r="E185" s="1"/>
  <c r="E191" s="1"/>
  <c r="D202"/>
  <c r="D185" s="1"/>
  <c r="D191" s="1"/>
  <c r="C202"/>
  <c r="C185" s="1"/>
  <c r="C191" s="1"/>
  <c r="B202"/>
  <c r="O201"/>
  <c r="G201"/>
  <c r="O200"/>
  <c r="G200"/>
  <c r="O199"/>
  <c r="G199"/>
  <c r="O198"/>
  <c r="G198"/>
  <c r="O197"/>
  <c r="G197"/>
  <c r="O196"/>
  <c r="G196"/>
  <c r="O195"/>
  <c r="O202" s="1"/>
  <c r="G195"/>
  <c r="O194"/>
  <c r="G194"/>
  <c r="O190"/>
  <c r="G190"/>
  <c r="O189"/>
  <c r="G189"/>
  <c r="O188"/>
  <c r="G188"/>
  <c r="O187"/>
  <c r="G187"/>
  <c r="O186"/>
  <c r="G186"/>
  <c r="N185"/>
  <c r="N191" s="1"/>
  <c r="M185"/>
  <c r="M191" s="1"/>
  <c r="L185"/>
  <c r="L191" s="1"/>
  <c r="J185"/>
  <c r="J191" s="1"/>
  <c r="F185"/>
  <c r="F191" s="1"/>
  <c r="B185"/>
  <c r="B191" s="1"/>
  <c r="N227"/>
  <c r="N210" s="1"/>
  <c r="N216" s="1"/>
  <c r="M227"/>
  <c r="M210" s="1"/>
  <c r="M216" s="1"/>
  <c r="L227"/>
  <c r="L210" s="1"/>
  <c r="L216" s="1"/>
  <c r="K227"/>
  <c r="K210" s="1"/>
  <c r="K216" s="1"/>
  <c r="J227"/>
  <c r="J210" s="1"/>
  <c r="J216" s="1"/>
  <c r="F227"/>
  <c r="E227"/>
  <c r="E210" s="1"/>
  <c r="E216" s="1"/>
  <c r="D227"/>
  <c r="D210" s="1"/>
  <c r="D216" s="1"/>
  <c r="C227"/>
  <c r="C210" s="1"/>
  <c r="C216" s="1"/>
  <c r="B227"/>
  <c r="O226"/>
  <c r="G226"/>
  <c r="O225"/>
  <c r="G225"/>
  <c r="O224"/>
  <c r="G224"/>
  <c r="O223"/>
  <c r="G223"/>
  <c r="O222"/>
  <c r="G222"/>
  <c r="O221"/>
  <c r="G221"/>
  <c r="O220"/>
  <c r="G220"/>
  <c r="O219"/>
  <c r="G219"/>
  <c r="O215"/>
  <c r="G215"/>
  <c r="O214"/>
  <c r="G214"/>
  <c r="O213"/>
  <c r="G213"/>
  <c r="O212"/>
  <c r="G212"/>
  <c r="O211"/>
  <c r="G211"/>
  <c r="F210"/>
  <c r="F216" s="1"/>
  <c r="B210"/>
  <c r="B216" s="1"/>
  <c r="N302"/>
  <c r="M302"/>
  <c r="L302"/>
  <c r="K302"/>
  <c r="K285" s="1"/>
  <c r="K291" s="1"/>
  <c r="J302"/>
  <c r="F302"/>
  <c r="E302"/>
  <c r="E285" s="1"/>
  <c r="E291" s="1"/>
  <c r="D302"/>
  <c r="D285" s="1"/>
  <c r="D291" s="1"/>
  <c r="C302"/>
  <c r="C285" s="1"/>
  <c r="C291" s="1"/>
  <c r="B302"/>
  <c r="O301"/>
  <c r="G301"/>
  <c r="O300"/>
  <c r="G300"/>
  <c r="O299"/>
  <c r="G299"/>
  <c r="O298"/>
  <c r="G298"/>
  <c r="O297"/>
  <c r="G297"/>
  <c r="O296"/>
  <c r="G296"/>
  <c r="O295"/>
  <c r="G295"/>
  <c r="O294"/>
  <c r="G294"/>
  <c r="O290"/>
  <c r="G290"/>
  <c r="O289"/>
  <c r="G289"/>
  <c r="O288"/>
  <c r="G288"/>
  <c r="O287"/>
  <c r="G287"/>
  <c r="O286"/>
  <c r="G286"/>
  <c r="N285"/>
  <c r="N291" s="1"/>
  <c r="M285"/>
  <c r="M291" s="1"/>
  <c r="L285"/>
  <c r="L291" s="1"/>
  <c r="J285"/>
  <c r="J291" s="1"/>
  <c r="F285"/>
  <c r="F291" s="1"/>
  <c r="B285"/>
  <c r="B291" s="1"/>
  <c r="S322"/>
  <c r="O185" l="1"/>
  <c r="O191" s="1"/>
  <c r="O227"/>
  <c r="O210" s="1"/>
  <c r="O216" s="1"/>
  <c r="G302"/>
  <c r="G285" s="1"/>
  <c r="G291" s="1"/>
  <c r="G177"/>
  <c r="G160" s="1"/>
  <c r="G166" s="1"/>
  <c r="G277"/>
  <c r="G260" s="1"/>
  <c r="G266" s="1"/>
  <c r="G252"/>
  <c r="G235" s="1"/>
  <c r="G241" s="1"/>
  <c r="O302"/>
  <c r="O285" s="1"/>
  <c r="O291" s="1"/>
  <c r="G227"/>
  <c r="G210" s="1"/>
  <c r="G216" s="1"/>
  <c r="G202"/>
  <c r="G185" s="1"/>
  <c r="G191" s="1"/>
  <c r="O177"/>
  <c r="O160" s="1"/>
  <c r="O166" s="1"/>
  <c r="O277"/>
  <c r="O260" s="1"/>
  <c r="O266" s="1"/>
  <c r="O252"/>
  <c r="O235" s="1"/>
  <c r="O241" s="1"/>
  <c r="I44" i="73" l="1"/>
  <c r="H41"/>
  <c r="G41"/>
  <c r="F41"/>
  <c r="E41"/>
  <c r="D41"/>
  <c r="I43"/>
  <c r="C146" i="76" l="1"/>
  <c r="C132" s="1"/>
  <c r="C12"/>
  <c r="C11" s="1"/>
  <c r="C25"/>
  <c r="C32"/>
  <c r="C44"/>
  <c r="C51"/>
  <c r="C58"/>
  <c r="C64"/>
  <c r="C73"/>
  <c r="C72" s="1"/>
  <c r="C71" s="1"/>
  <c r="C88"/>
  <c r="C87" s="1"/>
  <c r="C86" s="1"/>
  <c r="C110"/>
  <c r="C116"/>
  <c r="C123"/>
  <c r="C150"/>
  <c r="C159"/>
  <c r="C165"/>
  <c r="C179"/>
  <c r="C178" s="1"/>
  <c r="C177" s="1"/>
  <c r="C194"/>
  <c r="C193" s="1"/>
  <c r="C192" s="1"/>
  <c r="C223"/>
  <c r="C224"/>
  <c r="C226"/>
  <c r="C227"/>
  <c r="C225" s="1"/>
  <c r="C230"/>
  <c r="C231"/>
  <c r="C233"/>
  <c r="C234"/>
  <c r="C232" s="1"/>
  <c r="C149" l="1"/>
  <c r="C222"/>
  <c r="C221" s="1"/>
  <c r="C207"/>
  <c r="C101"/>
  <c r="C229"/>
  <c r="C228" s="1"/>
  <c r="C50"/>
  <c r="C10"/>
  <c r="C109"/>
  <c r="C215" l="1"/>
  <c r="C245" s="1"/>
  <c r="C176"/>
  <c r="C208" s="1"/>
  <c r="C220"/>
  <c r="C70"/>
  <c r="C102" s="1"/>
  <c r="C214"/>
  <c r="C244" s="1"/>
  <c r="C213" l="1"/>
  <c r="H208" i="117" l="1"/>
  <c r="AA154" l="1"/>
  <c r="T154"/>
  <c r="N154"/>
  <c r="H154"/>
  <c r="AA152"/>
  <c r="T152"/>
  <c r="N152"/>
  <c r="H152"/>
  <c r="G152" l="1"/>
  <c r="G154"/>
  <c r="S154"/>
  <c r="S152"/>
  <c r="AF152" l="1"/>
  <c r="AF154"/>
  <c r="D23" i="79"/>
  <c r="AA49" i="117" l="1"/>
  <c r="AA26"/>
  <c r="AA16"/>
  <c r="AA166"/>
  <c r="AA43"/>
  <c r="I100"/>
  <c r="P100"/>
  <c r="R100"/>
  <c r="AA97"/>
  <c r="T97"/>
  <c r="N97"/>
  <c r="H97"/>
  <c r="AA96"/>
  <c r="T96"/>
  <c r="N96"/>
  <c r="H96"/>
  <c r="AA95"/>
  <c r="T95"/>
  <c r="N95"/>
  <c r="H95"/>
  <c r="AA94"/>
  <c r="T94"/>
  <c r="N94"/>
  <c r="H94"/>
  <c r="AA93"/>
  <c r="T93"/>
  <c r="N93"/>
  <c r="H93"/>
  <c r="AA92"/>
  <c r="T92"/>
  <c r="N92"/>
  <c r="H92"/>
  <c r="AA91"/>
  <c r="T91"/>
  <c r="N91"/>
  <c r="H91"/>
  <c r="AA81"/>
  <c r="T81"/>
  <c r="N81"/>
  <c r="H81"/>
  <c r="AA80"/>
  <c r="T80"/>
  <c r="N80"/>
  <c r="H80"/>
  <c r="AA79"/>
  <c r="T79"/>
  <c r="N79"/>
  <c r="H79"/>
  <c r="AA78"/>
  <c r="T78"/>
  <c r="N78"/>
  <c r="H78"/>
  <c r="AA77"/>
  <c r="T77"/>
  <c r="N77"/>
  <c r="H77"/>
  <c r="AA76"/>
  <c r="T76"/>
  <c r="N76"/>
  <c r="H76"/>
  <c r="AA75"/>
  <c r="T75"/>
  <c r="N75"/>
  <c r="H75"/>
  <c r="AA74"/>
  <c r="T74"/>
  <c r="N74"/>
  <c r="H74"/>
  <c r="H12"/>
  <c r="N12"/>
  <c r="T12"/>
  <c r="AA12"/>
  <c r="H29"/>
  <c r="N29"/>
  <c r="T29"/>
  <c r="AA29"/>
  <c r="C194"/>
  <c r="C195" s="1"/>
  <c r="C196" s="1"/>
  <c r="AE183"/>
  <c r="AD183"/>
  <c r="AC183"/>
  <c r="AB183"/>
  <c r="Z183"/>
  <c r="Y183"/>
  <c r="X183"/>
  <c r="W183"/>
  <c r="V183"/>
  <c r="U183"/>
  <c r="R183"/>
  <c r="Q183"/>
  <c r="P183"/>
  <c r="O183"/>
  <c r="M183"/>
  <c r="L183"/>
  <c r="K183"/>
  <c r="J183"/>
  <c r="I183"/>
  <c r="AA182"/>
  <c r="AA183" s="1"/>
  <c r="T182"/>
  <c r="T183" s="1"/>
  <c r="N182"/>
  <c r="N183" s="1"/>
  <c r="H182"/>
  <c r="AE181"/>
  <c r="AD181"/>
  <c r="AC181"/>
  <c r="AB181"/>
  <c r="Z181"/>
  <c r="Y181"/>
  <c r="X181"/>
  <c r="W181"/>
  <c r="V181"/>
  <c r="U181"/>
  <c r="R181"/>
  <c r="Q181"/>
  <c r="P181"/>
  <c r="O181"/>
  <c r="M181"/>
  <c r="L181"/>
  <c r="K181"/>
  <c r="J181"/>
  <c r="I181"/>
  <c r="AA180"/>
  <c r="AA181" s="1"/>
  <c r="T180"/>
  <c r="T181" s="1"/>
  <c r="N180"/>
  <c r="N181" s="1"/>
  <c r="H180"/>
  <c r="H181" s="1"/>
  <c r="AE179"/>
  <c r="AD179"/>
  <c r="AC179"/>
  <c r="AB179"/>
  <c r="Z179"/>
  <c r="Y179"/>
  <c r="X179"/>
  <c r="W179"/>
  <c r="V179"/>
  <c r="R179"/>
  <c r="Q179"/>
  <c r="P179"/>
  <c r="O179"/>
  <c r="M179"/>
  <c r="L179"/>
  <c r="K179"/>
  <c r="J179"/>
  <c r="I179"/>
  <c r="AA178"/>
  <c r="T178"/>
  <c r="N178"/>
  <c r="H178"/>
  <c r="AA177"/>
  <c r="T177"/>
  <c r="N177"/>
  <c r="H177"/>
  <c r="AA176"/>
  <c r="T176"/>
  <c r="N176"/>
  <c r="H176"/>
  <c r="U179"/>
  <c r="AA175"/>
  <c r="T175"/>
  <c r="N175"/>
  <c r="H175"/>
  <c r="AA174"/>
  <c r="T174"/>
  <c r="N174"/>
  <c r="H174"/>
  <c r="AE171"/>
  <c r="AD171"/>
  <c r="AC171"/>
  <c r="AB171"/>
  <c r="Z171"/>
  <c r="Y171"/>
  <c r="X171"/>
  <c r="W171"/>
  <c r="V171"/>
  <c r="U171"/>
  <c r="R171"/>
  <c r="Q171"/>
  <c r="P171"/>
  <c r="O171"/>
  <c r="M171"/>
  <c r="L171"/>
  <c r="K171"/>
  <c r="J171"/>
  <c r="I171"/>
  <c r="AA170"/>
  <c r="AA171" s="1"/>
  <c r="T170"/>
  <c r="N170"/>
  <c r="N171" s="1"/>
  <c r="H170"/>
  <c r="H171" s="1"/>
  <c r="AE169"/>
  <c r="AD169"/>
  <c r="AC169"/>
  <c r="Z169"/>
  <c r="Y169"/>
  <c r="X169"/>
  <c r="W169"/>
  <c r="V169"/>
  <c r="R169"/>
  <c r="Q169"/>
  <c r="P169"/>
  <c r="O169"/>
  <c r="M169"/>
  <c r="L169"/>
  <c r="K169"/>
  <c r="J169"/>
  <c r="I169"/>
  <c r="AA168"/>
  <c r="T168"/>
  <c r="N168"/>
  <c r="H168"/>
  <c r="AA167"/>
  <c r="T167"/>
  <c r="N167"/>
  <c r="H167"/>
  <c r="U169"/>
  <c r="N166"/>
  <c r="H166"/>
  <c r="AA165"/>
  <c r="T165"/>
  <c r="N165"/>
  <c r="H165"/>
  <c r="AE164"/>
  <c r="AD164"/>
  <c r="AC164"/>
  <c r="AB164"/>
  <c r="Z164"/>
  <c r="Y164"/>
  <c r="X164"/>
  <c r="W164"/>
  <c r="V164"/>
  <c r="U164"/>
  <c r="R164"/>
  <c r="Q164"/>
  <c r="P164"/>
  <c r="O164"/>
  <c r="M164"/>
  <c r="L164"/>
  <c r="K164"/>
  <c r="J164"/>
  <c r="I164"/>
  <c r="AA163"/>
  <c r="AA164" s="1"/>
  <c r="T163"/>
  <c r="T164" s="1"/>
  <c r="N163"/>
  <c r="N164" s="1"/>
  <c r="H163"/>
  <c r="AE160"/>
  <c r="AD160"/>
  <c r="AC160"/>
  <c r="AB160"/>
  <c r="Z160"/>
  <c r="Y160"/>
  <c r="X160"/>
  <c r="W160"/>
  <c r="V160"/>
  <c r="U160"/>
  <c r="R160"/>
  <c r="Q160"/>
  <c r="P160"/>
  <c r="O160"/>
  <c r="M160"/>
  <c r="L160"/>
  <c r="K160"/>
  <c r="J160"/>
  <c r="I160"/>
  <c r="AA159"/>
  <c r="AA160" s="1"/>
  <c r="T159"/>
  <c r="T160" s="1"/>
  <c r="N159"/>
  <c r="N160" s="1"/>
  <c r="H159"/>
  <c r="H160" s="1"/>
  <c r="AE158"/>
  <c r="AD158"/>
  <c r="AC158"/>
  <c r="AB158"/>
  <c r="Z158"/>
  <c r="Y158"/>
  <c r="X158"/>
  <c r="W158"/>
  <c r="V158"/>
  <c r="U158"/>
  <c r="R158"/>
  <c r="Q158"/>
  <c r="P158"/>
  <c r="O158"/>
  <c r="M158"/>
  <c r="L158"/>
  <c r="K158"/>
  <c r="J158"/>
  <c r="I158"/>
  <c r="AA157"/>
  <c r="AA158" s="1"/>
  <c r="T157"/>
  <c r="T158" s="1"/>
  <c r="N157"/>
  <c r="N158" s="1"/>
  <c r="H157"/>
  <c r="AE156"/>
  <c r="AD156"/>
  <c r="AC156"/>
  <c r="AB156"/>
  <c r="Z156"/>
  <c r="Y156"/>
  <c r="X156"/>
  <c r="W156"/>
  <c r="R156"/>
  <c r="Q156"/>
  <c r="P156"/>
  <c r="O156"/>
  <c r="M156"/>
  <c r="L156"/>
  <c r="K156"/>
  <c r="J156"/>
  <c r="I156"/>
  <c r="AA155"/>
  <c r="T155"/>
  <c r="N155"/>
  <c r="H155"/>
  <c r="V156"/>
  <c r="U156"/>
  <c r="AA153"/>
  <c r="T153"/>
  <c r="N153"/>
  <c r="H153"/>
  <c r="AA151"/>
  <c r="T151"/>
  <c r="N151"/>
  <c r="H151"/>
  <c r="AA150"/>
  <c r="T150"/>
  <c r="N150"/>
  <c r="H150"/>
  <c r="AA149"/>
  <c r="T149"/>
  <c r="N149"/>
  <c r="H149"/>
  <c r="AA148"/>
  <c r="T148"/>
  <c r="N148"/>
  <c r="H148"/>
  <c r="AE145"/>
  <c r="AD145"/>
  <c r="AC145"/>
  <c r="AB145"/>
  <c r="Z145"/>
  <c r="Y145"/>
  <c r="X145"/>
  <c r="W145"/>
  <c r="V145"/>
  <c r="U145"/>
  <c r="R145"/>
  <c r="Q145"/>
  <c r="P145"/>
  <c r="O145"/>
  <c r="M145"/>
  <c r="L145"/>
  <c r="K145"/>
  <c r="J145"/>
  <c r="I145"/>
  <c r="AA144"/>
  <c r="AA145" s="1"/>
  <c r="T144"/>
  <c r="N144"/>
  <c r="N145" s="1"/>
  <c r="H144"/>
  <c r="AE143"/>
  <c r="AD143"/>
  <c r="AC143"/>
  <c r="AB143"/>
  <c r="Z143"/>
  <c r="Y143"/>
  <c r="X143"/>
  <c r="W143"/>
  <c r="V143"/>
  <c r="U143"/>
  <c r="R143"/>
  <c r="Q143"/>
  <c r="P143"/>
  <c r="O143"/>
  <c r="M143"/>
  <c r="L143"/>
  <c r="K143"/>
  <c r="J143"/>
  <c r="I143"/>
  <c r="AA142"/>
  <c r="AA143" s="1"/>
  <c r="T142"/>
  <c r="N142"/>
  <c r="N143" s="1"/>
  <c r="H142"/>
  <c r="AE141"/>
  <c r="AD141"/>
  <c r="AC141"/>
  <c r="AB141"/>
  <c r="Z141"/>
  <c r="Y141"/>
  <c r="X141"/>
  <c r="R141"/>
  <c r="Q141"/>
  <c r="P141"/>
  <c r="O141"/>
  <c r="M141"/>
  <c r="L141"/>
  <c r="K141"/>
  <c r="J141"/>
  <c r="I141"/>
  <c r="AA140"/>
  <c r="T140"/>
  <c r="N140"/>
  <c r="H140"/>
  <c r="AA139"/>
  <c r="T139"/>
  <c r="N139"/>
  <c r="H139"/>
  <c r="AA138"/>
  <c r="T138"/>
  <c r="N138"/>
  <c r="H138"/>
  <c r="AA137"/>
  <c r="T137"/>
  <c r="N137"/>
  <c r="H137"/>
  <c r="AA136"/>
  <c r="T136"/>
  <c r="N136"/>
  <c r="H136"/>
  <c r="AA135"/>
  <c r="V141"/>
  <c r="N135"/>
  <c r="H135"/>
  <c r="AA134"/>
  <c r="T134"/>
  <c r="N134"/>
  <c r="H134"/>
  <c r="AE131"/>
  <c r="AD131"/>
  <c r="AC131"/>
  <c r="AB131"/>
  <c r="Z131"/>
  <c r="Y131"/>
  <c r="X131"/>
  <c r="W131"/>
  <c r="V131"/>
  <c r="U131"/>
  <c r="R131"/>
  <c r="Q131"/>
  <c r="P131"/>
  <c r="O131"/>
  <c r="M131"/>
  <c r="L131"/>
  <c r="K131"/>
  <c r="J131"/>
  <c r="I131"/>
  <c r="AA130"/>
  <c r="T130"/>
  <c r="N130"/>
  <c r="H130"/>
  <c r="AA129"/>
  <c r="T129"/>
  <c r="N129"/>
  <c r="H129"/>
  <c r="AA128"/>
  <c r="T128"/>
  <c r="N128"/>
  <c r="H128"/>
  <c r="AA127"/>
  <c r="T127"/>
  <c r="N127"/>
  <c r="H127"/>
  <c r="AA126"/>
  <c r="T126"/>
  <c r="N126"/>
  <c r="H126"/>
  <c r="AA125"/>
  <c r="T125"/>
  <c r="N125"/>
  <c r="H125"/>
  <c r="AA124"/>
  <c r="T124"/>
  <c r="N124"/>
  <c r="H124"/>
  <c r="AE123"/>
  <c r="AD123"/>
  <c r="AC123"/>
  <c r="AB123"/>
  <c r="Z123"/>
  <c r="Y123"/>
  <c r="X123"/>
  <c r="W123"/>
  <c r="V123"/>
  <c r="U123"/>
  <c r="R123"/>
  <c r="Q123"/>
  <c r="P123"/>
  <c r="O123"/>
  <c r="M123"/>
  <c r="L123"/>
  <c r="K123"/>
  <c r="J123"/>
  <c r="I123"/>
  <c r="AA122"/>
  <c r="T122"/>
  <c r="N122"/>
  <c r="H122"/>
  <c r="AA121"/>
  <c r="T121"/>
  <c r="N121"/>
  <c r="H121"/>
  <c r="AA120"/>
  <c r="T120"/>
  <c r="N120"/>
  <c r="H120"/>
  <c r="AE119"/>
  <c r="AD119"/>
  <c r="AC119"/>
  <c r="AB119"/>
  <c r="Z119"/>
  <c r="Y119"/>
  <c r="X119"/>
  <c r="W119"/>
  <c r="U119"/>
  <c r="R119"/>
  <c r="Q119"/>
  <c r="P119"/>
  <c r="O119"/>
  <c r="M119"/>
  <c r="L119"/>
  <c r="K119"/>
  <c r="J119"/>
  <c r="I119"/>
  <c r="AA118"/>
  <c r="T118"/>
  <c r="N118"/>
  <c r="H118"/>
  <c r="V119"/>
  <c r="AA116"/>
  <c r="T116"/>
  <c r="N116"/>
  <c r="H116"/>
  <c r="AA115"/>
  <c r="T115"/>
  <c r="N115"/>
  <c r="H115"/>
  <c r="AA114"/>
  <c r="T114"/>
  <c r="N114"/>
  <c r="H114"/>
  <c r="AA113"/>
  <c r="T113"/>
  <c r="N113"/>
  <c r="H113"/>
  <c r="AA112"/>
  <c r="T112"/>
  <c r="N112"/>
  <c r="H112"/>
  <c r="AE109"/>
  <c r="AD109"/>
  <c r="AC109"/>
  <c r="AB109"/>
  <c r="Z109"/>
  <c r="Y109"/>
  <c r="X109"/>
  <c r="W109"/>
  <c r="V109"/>
  <c r="U109"/>
  <c r="R109"/>
  <c r="Q109"/>
  <c r="P109"/>
  <c r="O109"/>
  <c r="M109"/>
  <c r="L109"/>
  <c r="K109"/>
  <c r="J109"/>
  <c r="I109"/>
  <c r="AA108"/>
  <c r="AA109" s="1"/>
  <c r="T108"/>
  <c r="T109" s="1"/>
  <c r="N108"/>
  <c r="H108"/>
  <c r="H109" s="1"/>
  <c r="AE107"/>
  <c r="AD107"/>
  <c r="AC107"/>
  <c r="AB107"/>
  <c r="Z107"/>
  <c r="Y107"/>
  <c r="X107"/>
  <c r="W107"/>
  <c r="V107"/>
  <c r="U107"/>
  <c r="R107"/>
  <c r="Q107"/>
  <c r="P107"/>
  <c r="O107"/>
  <c r="M107"/>
  <c r="L107"/>
  <c r="K107"/>
  <c r="J107"/>
  <c r="I107"/>
  <c r="AA106"/>
  <c r="T106"/>
  <c r="N106"/>
  <c r="H106"/>
  <c r="AA105"/>
  <c r="T105"/>
  <c r="N105"/>
  <c r="H105"/>
  <c r="AA104"/>
  <c r="T104"/>
  <c r="N104"/>
  <c r="H104"/>
  <c r="AA103"/>
  <c r="T103"/>
  <c r="N103"/>
  <c r="H103"/>
  <c r="AA102"/>
  <c r="T102"/>
  <c r="N102"/>
  <c r="H102"/>
  <c r="AA101"/>
  <c r="T101"/>
  <c r="N101"/>
  <c r="H101"/>
  <c r="AE100"/>
  <c r="AD100"/>
  <c r="Z100"/>
  <c r="X100"/>
  <c r="V100"/>
  <c r="U100"/>
  <c r="Q100"/>
  <c r="O100"/>
  <c r="M100"/>
  <c r="L100"/>
  <c r="K100"/>
  <c r="J100"/>
  <c r="AA99"/>
  <c r="T99"/>
  <c r="N99"/>
  <c r="H99"/>
  <c r="AA98"/>
  <c r="T98"/>
  <c r="N98"/>
  <c r="H98"/>
  <c r="AA90"/>
  <c r="T90"/>
  <c r="N90"/>
  <c r="H90"/>
  <c r="AA89"/>
  <c r="T89"/>
  <c r="N89"/>
  <c r="H89"/>
  <c r="AA88"/>
  <c r="T88"/>
  <c r="N88"/>
  <c r="H88"/>
  <c r="AA87"/>
  <c r="T87"/>
  <c r="N87"/>
  <c r="H87"/>
  <c r="AA86"/>
  <c r="T86"/>
  <c r="N86"/>
  <c r="H86"/>
  <c r="AA85"/>
  <c r="T85"/>
  <c r="N85"/>
  <c r="H85"/>
  <c r="AA84"/>
  <c r="T84"/>
  <c r="N84"/>
  <c r="H84"/>
  <c r="AA83"/>
  <c r="T83"/>
  <c r="N83"/>
  <c r="H83"/>
  <c r="AA82"/>
  <c r="T82"/>
  <c r="N82"/>
  <c r="H82"/>
  <c r="AA73"/>
  <c r="T73"/>
  <c r="N73"/>
  <c r="H73"/>
  <c r="AA72"/>
  <c r="T72"/>
  <c r="N72"/>
  <c r="H72"/>
  <c r="AA71"/>
  <c r="T71"/>
  <c r="N71"/>
  <c r="H71"/>
  <c r="AA70"/>
  <c r="T70"/>
  <c r="N70"/>
  <c r="H70"/>
  <c r="AA69"/>
  <c r="T69"/>
  <c r="N69"/>
  <c r="H69"/>
  <c r="AA68"/>
  <c r="T68"/>
  <c r="N68"/>
  <c r="H68"/>
  <c r="AA34"/>
  <c r="T34"/>
  <c r="N34"/>
  <c r="H34"/>
  <c r="AA67"/>
  <c r="T67"/>
  <c r="N67"/>
  <c r="H67"/>
  <c r="AA66"/>
  <c r="T66"/>
  <c r="N66"/>
  <c r="H66"/>
  <c r="AA65"/>
  <c r="T65"/>
  <c r="N65"/>
  <c r="H65"/>
  <c r="AA64"/>
  <c r="T64"/>
  <c r="N64"/>
  <c r="H64"/>
  <c r="AA63"/>
  <c r="T63"/>
  <c r="N63"/>
  <c r="H63"/>
  <c r="AA62"/>
  <c r="T62"/>
  <c r="N62"/>
  <c r="H62"/>
  <c r="AA61"/>
  <c r="T61"/>
  <c r="N61"/>
  <c r="H61"/>
  <c r="AA60"/>
  <c r="T60"/>
  <c r="N60"/>
  <c r="H60"/>
  <c r="AA59"/>
  <c r="T59"/>
  <c r="N59"/>
  <c r="H59"/>
  <c r="AA58"/>
  <c r="T58"/>
  <c r="N58"/>
  <c r="H58"/>
  <c r="AA57"/>
  <c r="T57"/>
  <c r="N57"/>
  <c r="H57"/>
  <c r="AA56"/>
  <c r="T56"/>
  <c r="N56"/>
  <c r="H56"/>
  <c r="AA55"/>
  <c r="T55"/>
  <c r="N55"/>
  <c r="H55"/>
  <c r="AA54"/>
  <c r="T54"/>
  <c r="N54"/>
  <c r="H54"/>
  <c r="AA53"/>
  <c r="T53"/>
  <c r="N53"/>
  <c r="H53"/>
  <c r="T43"/>
  <c r="N43"/>
  <c r="H43"/>
  <c r="T49"/>
  <c r="N49"/>
  <c r="H49"/>
  <c r="T26"/>
  <c r="N26"/>
  <c r="H26"/>
  <c r="T16"/>
  <c r="N16"/>
  <c r="H16"/>
  <c r="AA52"/>
  <c r="T52"/>
  <c r="H52"/>
  <c r="A52"/>
  <c r="AA51"/>
  <c r="T51"/>
  <c r="N51"/>
  <c r="H51"/>
  <c r="AA50"/>
  <c r="T50"/>
  <c r="N50"/>
  <c r="H50"/>
  <c r="AA48"/>
  <c r="T48"/>
  <c r="N48"/>
  <c r="H48"/>
  <c r="AA47"/>
  <c r="T47"/>
  <c r="N47"/>
  <c r="H47"/>
  <c r="AA46"/>
  <c r="T46"/>
  <c r="N46"/>
  <c r="H46"/>
  <c r="AA45"/>
  <c r="T45"/>
  <c r="N45"/>
  <c r="H45"/>
  <c r="AA42"/>
  <c r="T42"/>
  <c r="N42"/>
  <c r="H42"/>
  <c r="AA40"/>
  <c r="T40"/>
  <c r="N40"/>
  <c r="H40"/>
  <c r="AA39"/>
  <c r="T39"/>
  <c r="N39"/>
  <c r="H39"/>
  <c r="AA38"/>
  <c r="T38"/>
  <c r="N38"/>
  <c r="H38"/>
  <c r="AA36"/>
  <c r="T36"/>
  <c r="N36"/>
  <c r="H36"/>
  <c r="AA35"/>
  <c r="T35"/>
  <c r="N35"/>
  <c r="H35"/>
  <c r="AA33"/>
  <c r="T33"/>
  <c r="N33"/>
  <c r="H33"/>
  <c r="AA32"/>
  <c r="T32"/>
  <c r="N32"/>
  <c r="H32"/>
  <c r="AA31"/>
  <c r="T31"/>
  <c r="N31"/>
  <c r="H31"/>
  <c r="AA30"/>
  <c r="T30"/>
  <c r="N30"/>
  <c r="H30"/>
  <c r="AA28"/>
  <c r="T28"/>
  <c r="N28"/>
  <c r="H28"/>
  <c r="AA25"/>
  <c r="T25"/>
  <c r="N25"/>
  <c r="H25"/>
  <c r="AA24"/>
  <c r="T24"/>
  <c r="N24"/>
  <c r="H24"/>
  <c r="AA22"/>
  <c r="T22"/>
  <c r="N22"/>
  <c r="H22"/>
  <c r="AA21"/>
  <c r="T21"/>
  <c r="N21"/>
  <c r="H21"/>
  <c r="AA20"/>
  <c r="T20"/>
  <c r="N20"/>
  <c r="H20"/>
  <c r="AA19"/>
  <c r="T19"/>
  <c r="N19"/>
  <c r="H19"/>
  <c r="AA17"/>
  <c r="T17"/>
  <c r="N17"/>
  <c r="H17"/>
  <c r="AA15"/>
  <c r="T15"/>
  <c r="N15"/>
  <c r="H15"/>
  <c r="AA14"/>
  <c r="T14"/>
  <c r="N14"/>
  <c r="H14"/>
  <c r="AA13"/>
  <c r="T13"/>
  <c r="N13"/>
  <c r="H13"/>
  <c r="AA9"/>
  <c r="T9"/>
  <c r="N9"/>
  <c r="H9"/>
  <c r="A9"/>
  <c r="A14" s="1"/>
  <c r="A15" s="1"/>
  <c r="A17" s="1"/>
  <c r="A19" s="1"/>
  <c r="A20" s="1"/>
  <c r="A21" s="1"/>
  <c r="A22" s="1"/>
  <c r="A24" s="1"/>
  <c r="A25" s="1"/>
  <c r="A28" s="1"/>
  <c r="A30" s="1"/>
  <c r="A31" s="1"/>
  <c r="A32" s="1"/>
  <c r="A33" s="1"/>
  <c r="A35" s="1"/>
  <c r="A36" s="1"/>
  <c r="A38" s="1"/>
  <c r="A39" s="1"/>
  <c r="A40" s="1"/>
  <c r="A42" s="1"/>
  <c r="A45" s="1"/>
  <c r="A46" s="1"/>
  <c r="A47" s="1"/>
  <c r="A48" s="1"/>
  <c r="A50" s="1"/>
  <c r="A51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4" s="1"/>
  <c r="AA8"/>
  <c r="T8"/>
  <c r="N8"/>
  <c r="H8"/>
  <c r="H183" l="1"/>
  <c r="AA10"/>
  <c r="S10" s="1"/>
  <c r="AF10" s="1"/>
  <c r="C197"/>
  <c r="C198" s="1"/>
  <c r="C199" s="1"/>
  <c r="A10"/>
  <c r="N123"/>
  <c r="H123"/>
  <c r="H107"/>
  <c r="H179"/>
  <c r="I146"/>
  <c r="M146"/>
  <c r="R146"/>
  <c r="S95"/>
  <c r="S75"/>
  <c r="S94"/>
  <c r="S74"/>
  <c r="G12"/>
  <c r="G92"/>
  <c r="G76"/>
  <c r="G77"/>
  <c r="G79"/>
  <c r="G80"/>
  <c r="G91"/>
  <c r="W184"/>
  <c r="AB184"/>
  <c r="S29"/>
  <c r="S79"/>
  <c r="S80"/>
  <c r="S81"/>
  <c r="S91"/>
  <c r="G96"/>
  <c r="G97"/>
  <c r="AB169"/>
  <c r="AB172" s="1"/>
  <c r="AB100"/>
  <c r="AB110" s="1"/>
  <c r="N52"/>
  <c r="G52" s="1"/>
  <c r="S12"/>
  <c r="S92"/>
  <c r="S93"/>
  <c r="G74"/>
  <c r="G75"/>
  <c r="S76"/>
  <c r="S77"/>
  <c r="S78"/>
  <c r="G81"/>
  <c r="G95"/>
  <c r="S96"/>
  <c r="S97"/>
  <c r="J146"/>
  <c r="L184"/>
  <c r="Q184"/>
  <c r="G78"/>
  <c r="G93"/>
  <c r="G94"/>
  <c r="A75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101" s="1"/>
  <c r="Y100"/>
  <c r="Y110" s="1"/>
  <c r="G29"/>
  <c r="AA169"/>
  <c r="AA172" s="1"/>
  <c r="G150"/>
  <c r="G151"/>
  <c r="T123"/>
  <c r="A99"/>
  <c r="X184"/>
  <c r="AC184"/>
  <c r="W132"/>
  <c r="AB132"/>
  <c r="G43"/>
  <c r="S99"/>
  <c r="G67"/>
  <c r="G114"/>
  <c r="S138"/>
  <c r="S25"/>
  <c r="S32"/>
  <c r="S38"/>
  <c r="S45"/>
  <c r="G59"/>
  <c r="X110"/>
  <c r="S106"/>
  <c r="K172"/>
  <c r="P172"/>
  <c r="G21"/>
  <c r="G22"/>
  <c r="G24"/>
  <c r="G28"/>
  <c r="G39"/>
  <c r="G46"/>
  <c r="G47"/>
  <c r="S57"/>
  <c r="S61"/>
  <c r="S65"/>
  <c r="S88"/>
  <c r="L132"/>
  <c r="Q132"/>
  <c r="S128"/>
  <c r="S129"/>
  <c r="S130"/>
  <c r="G155"/>
  <c r="S168"/>
  <c r="G178"/>
  <c r="G32"/>
  <c r="G33"/>
  <c r="G38"/>
  <c r="G26"/>
  <c r="S71"/>
  <c r="S72"/>
  <c r="S73"/>
  <c r="S82"/>
  <c r="S85"/>
  <c r="S86"/>
  <c r="S87"/>
  <c r="J110"/>
  <c r="O110"/>
  <c r="U110"/>
  <c r="G102"/>
  <c r="S113"/>
  <c r="G125"/>
  <c r="S144"/>
  <c r="S145" s="1"/>
  <c r="K161"/>
  <c r="P161"/>
  <c r="G168"/>
  <c r="U184"/>
  <c r="S176"/>
  <c r="G15"/>
  <c r="G19"/>
  <c r="G48"/>
  <c r="G115"/>
  <c r="G116"/>
  <c r="G118"/>
  <c r="W141"/>
  <c r="W146" s="1"/>
  <c r="V172"/>
  <c r="Z172"/>
  <c r="AE172"/>
  <c r="G176"/>
  <c r="G17"/>
  <c r="S13"/>
  <c r="S20"/>
  <c r="S42"/>
  <c r="S50"/>
  <c r="S51"/>
  <c r="S49"/>
  <c r="G54"/>
  <c r="G55"/>
  <c r="G58"/>
  <c r="S114"/>
  <c r="X132"/>
  <c r="AC132"/>
  <c r="G122"/>
  <c r="V146"/>
  <c r="L146"/>
  <c r="Q146"/>
  <c r="G149"/>
  <c r="AE161"/>
  <c r="J172"/>
  <c r="O172"/>
  <c r="AD172"/>
  <c r="I184"/>
  <c r="M184"/>
  <c r="R184"/>
  <c r="Y184"/>
  <c r="AD184"/>
  <c r="S16"/>
  <c r="S68"/>
  <c r="S69"/>
  <c r="G89"/>
  <c r="G90"/>
  <c r="G98"/>
  <c r="Z110"/>
  <c r="U141"/>
  <c r="U146" s="1"/>
  <c r="T135"/>
  <c r="S135" s="1"/>
  <c r="G139"/>
  <c r="G140"/>
  <c r="G142"/>
  <c r="G143" s="1"/>
  <c r="N156"/>
  <c r="N161" s="1"/>
  <c r="V161"/>
  <c r="J161"/>
  <c r="O161"/>
  <c r="G157"/>
  <c r="G158" s="1"/>
  <c r="G177"/>
  <c r="S14"/>
  <c r="S15"/>
  <c r="S17"/>
  <c r="S21"/>
  <c r="S22"/>
  <c r="S46"/>
  <c r="S47"/>
  <c r="W100"/>
  <c r="W110" s="1"/>
  <c r="G49"/>
  <c r="G53"/>
  <c r="S62"/>
  <c r="S66"/>
  <c r="G72"/>
  <c r="G73"/>
  <c r="G82"/>
  <c r="G83"/>
  <c r="G85"/>
  <c r="G86"/>
  <c r="G87"/>
  <c r="L110"/>
  <c r="Q110"/>
  <c r="S102"/>
  <c r="T107"/>
  <c r="S104"/>
  <c r="S105"/>
  <c r="S108"/>
  <c r="S109" s="1"/>
  <c r="V132"/>
  <c r="K132"/>
  <c r="P132"/>
  <c r="N131"/>
  <c r="G126"/>
  <c r="G127"/>
  <c r="G129"/>
  <c r="N141"/>
  <c r="N146" s="1"/>
  <c r="Z146"/>
  <c r="AE146"/>
  <c r="G144"/>
  <c r="G145" s="1"/>
  <c r="S150"/>
  <c r="S151"/>
  <c r="S153"/>
  <c r="U161"/>
  <c r="Z161"/>
  <c r="G163"/>
  <c r="G164" s="1"/>
  <c r="X172"/>
  <c r="G166"/>
  <c r="S167"/>
  <c r="S174"/>
  <c r="S175"/>
  <c r="P184"/>
  <c r="G180"/>
  <c r="G181" s="1"/>
  <c r="S9"/>
  <c r="G14"/>
  <c r="S31"/>
  <c r="S36"/>
  <c r="G16"/>
  <c r="S54"/>
  <c r="S58"/>
  <c r="G62"/>
  <c r="G63"/>
  <c r="G66"/>
  <c r="G68"/>
  <c r="G69"/>
  <c r="G70"/>
  <c r="S84"/>
  <c r="S89"/>
  <c r="S90"/>
  <c r="S98"/>
  <c r="K110"/>
  <c r="P110"/>
  <c r="V110"/>
  <c r="G103"/>
  <c r="G106"/>
  <c r="G108"/>
  <c r="G109" s="1"/>
  <c r="AA119"/>
  <c r="Z132"/>
  <c r="AE132"/>
  <c r="S122"/>
  <c r="H131"/>
  <c r="S127"/>
  <c r="G134"/>
  <c r="G135"/>
  <c r="S136"/>
  <c r="S137"/>
  <c r="S140"/>
  <c r="AD146"/>
  <c r="S142"/>
  <c r="S143" s="1"/>
  <c r="S149"/>
  <c r="L161"/>
  <c r="Q161"/>
  <c r="Y161"/>
  <c r="AD161"/>
  <c r="W172"/>
  <c r="H169"/>
  <c r="T166"/>
  <c r="S166" s="1"/>
  <c r="S170"/>
  <c r="S171" s="1"/>
  <c r="T171"/>
  <c r="N179"/>
  <c r="N184" s="1"/>
  <c r="G175"/>
  <c r="S177"/>
  <c r="J184"/>
  <c r="O184"/>
  <c r="T143"/>
  <c r="I110"/>
  <c r="S19"/>
  <c r="G25"/>
  <c r="S28"/>
  <c r="S30"/>
  <c r="G35"/>
  <c r="G36"/>
  <c r="S39"/>
  <c r="S40"/>
  <c r="G45"/>
  <c r="S48"/>
  <c r="S26"/>
  <c r="G56"/>
  <c r="G57"/>
  <c r="S59"/>
  <c r="S60"/>
  <c r="G64"/>
  <c r="G65"/>
  <c r="S67"/>
  <c r="S34"/>
  <c r="G71"/>
  <c r="S83"/>
  <c r="G88"/>
  <c r="G99"/>
  <c r="M110"/>
  <c r="R110"/>
  <c r="AE110"/>
  <c r="AA107"/>
  <c r="S115"/>
  <c r="S116"/>
  <c r="S118"/>
  <c r="G121"/>
  <c r="AA131"/>
  <c r="S125"/>
  <c r="S126"/>
  <c r="G130"/>
  <c r="H141"/>
  <c r="G136"/>
  <c r="G137"/>
  <c r="G138"/>
  <c r="K146"/>
  <c r="P146"/>
  <c r="Y146"/>
  <c r="T145"/>
  <c r="G148"/>
  <c r="G153"/>
  <c r="S155"/>
  <c r="X161"/>
  <c r="AC161"/>
  <c r="H158"/>
  <c r="G159"/>
  <c r="G160" s="1"/>
  <c r="S163"/>
  <c r="S164" s="1"/>
  <c r="I172"/>
  <c r="M172"/>
  <c r="R172"/>
  <c r="G170"/>
  <c r="G171" s="1"/>
  <c r="S178"/>
  <c r="K184"/>
  <c r="V184"/>
  <c r="Z184"/>
  <c r="AE184"/>
  <c r="S53"/>
  <c r="AD110"/>
  <c r="S101"/>
  <c r="G104"/>
  <c r="G105"/>
  <c r="N119"/>
  <c r="G113"/>
  <c r="J132"/>
  <c r="O132"/>
  <c r="U132"/>
  <c r="AA123"/>
  <c r="S121"/>
  <c r="T131"/>
  <c r="G128"/>
  <c r="AA141"/>
  <c r="AA146" s="1"/>
  <c r="S139"/>
  <c r="O146"/>
  <c r="X146"/>
  <c r="AC146"/>
  <c r="H143"/>
  <c r="S148"/>
  <c r="W161"/>
  <c r="AB161"/>
  <c r="H164"/>
  <c r="L172"/>
  <c r="Q172"/>
  <c r="S165"/>
  <c r="AA179"/>
  <c r="AA184" s="1"/>
  <c r="G9"/>
  <c r="G13"/>
  <c r="G20"/>
  <c r="S24"/>
  <c r="G30"/>
  <c r="G31"/>
  <c r="S33"/>
  <c r="S35"/>
  <c r="G40"/>
  <c r="G42"/>
  <c r="G50"/>
  <c r="G51"/>
  <c r="S52"/>
  <c r="S43"/>
  <c r="S55"/>
  <c r="S56"/>
  <c r="G60"/>
  <c r="G61"/>
  <c r="S63"/>
  <c r="S64"/>
  <c r="G34"/>
  <c r="S70"/>
  <c r="G84"/>
  <c r="N107"/>
  <c r="H119"/>
  <c r="I132"/>
  <c r="M132"/>
  <c r="R132"/>
  <c r="Y132"/>
  <c r="AD132"/>
  <c r="S124"/>
  <c r="AB146"/>
  <c r="H145"/>
  <c r="I161"/>
  <c r="M161"/>
  <c r="R161"/>
  <c r="U172"/>
  <c r="Y172"/>
  <c r="AC172"/>
  <c r="G165"/>
  <c r="G167"/>
  <c r="G182"/>
  <c r="G183" s="1"/>
  <c r="S103"/>
  <c r="G120"/>
  <c r="S134"/>
  <c r="H156"/>
  <c r="S157"/>
  <c r="S158" s="1"/>
  <c r="S159"/>
  <c r="S160" s="1"/>
  <c r="G8"/>
  <c r="G101"/>
  <c r="N109"/>
  <c r="G112"/>
  <c r="S120"/>
  <c r="AA156"/>
  <c r="AA161" s="1"/>
  <c r="N169"/>
  <c r="N172" s="1"/>
  <c r="G174"/>
  <c r="S180"/>
  <c r="S181" s="1"/>
  <c r="S182"/>
  <c r="S183" s="1"/>
  <c r="S8"/>
  <c r="S112"/>
  <c r="G124"/>
  <c r="C200" l="1"/>
  <c r="C201" s="1"/>
  <c r="A37"/>
  <c r="AA100"/>
  <c r="AA110" s="1"/>
  <c r="AC100"/>
  <c r="AC110" s="1"/>
  <c r="AC186" s="1"/>
  <c r="H184"/>
  <c r="AF12"/>
  <c r="AF73"/>
  <c r="AF43"/>
  <c r="AF29"/>
  <c r="AF99"/>
  <c r="AF26"/>
  <c r="N132"/>
  <c r="AF52"/>
  <c r="N100"/>
  <c r="N110" s="1"/>
  <c r="AF150"/>
  <c r="T179"/>
  <c r="T184" s="1"/>
  <c r="A102"/>
  <c r="A103" s="1"/>
  <c r="A104" s="1"/>
  <c r="A105" s="1"/>
  <c r="A106" s="1"/>
  <c r="A108" s="1"/>
  <c r="A112" s="1"/>
  <c r="A114" s="1"/>
  <c r="A115" s="1"/>
  <c r="A116" s="1"/>
  <c r="A118" s="1"/>
  <c r="A120" s="1"/>
  <c r="A121" s="1"/>
  <c r="A122" s="1"/>
  <c r="A124" s="1"/>
  <c r="A125" s="1"/>
  <c r="A126" s="1"/>
  <c r="A127" s="1"/>
  <c r="A128" s="1"/>
  <c r="A129" s="1"/>
  <c r="A130" s="1"/>
  <c r="A134" s="1"/>
  <c r="A136" s="1"/>
  <c r="A137" s="1"/>
  <c r="A138" s="1"/>
  <c r="A139" s="1"/>
  <c r="A140" s="1"/>
  <c r="A142" s="1"/>
  <c r="A144" s="1"/>
  <c r="A148" s="1"/>
  <c r="A149" s="1"/>
  <c r="A151" s="1"/>
  <c r="A153" s="1"/>
  <c r="A155" s="1"/>
  <c r="A157" s="1"/>
  <c r="A159" s="1"/>
  <c r="A163" s="1"/>
  <c r="A165" s="1"/>
  <c r="A167" s="1"/>
  <c r="A170" s="1"/>
  <c r="A174" s="1"/>
  <c r="A175" s="1"/>
  <c r="A176" s="1"/>
  <c r="A177" s="1"/>
  <c r="A178" s="1"/>
  <c r="A180" s="1"/>
  <c r="A182" s="1"/>
  <c r="AF49"/>
  <c r="AF135"/>
  <c r="AF168"/>
  <c r="AA132"/>
  <c r="H172"/>
  <c r="AB186"/>
  <c r="J186"/>
  <c r="P186"/>
  <c r="V186"/>
  <c r="Q186"/>
  <c r="X186"/>
  <c r="K186"/>
  <c r="S179"/>
  <c r="S184" s="1"/>
  <c r="AF166"/>
  <c r="S107"/>
  <c r="G107"/>
  <c r="AF113"/>
  <c r="S100"/>
  <c r="S123"/>
  <c r="H161"/>
  <c r="Y186"/>
  <c r="AF34"/>
  <c r="S169"/>
  <c r="S172" s="1"/>
  <c r="U186"/>
  <c r="AF16"/>
  <c r="G179"/>
  <c r="G184" s="1"/>
  <c r="G123"/>
  <c r="G169"/>
  <c r="G172" s="1"/>
  <c r="T169"/>
  <c r="T172" s="1"/>
  <c r="AF53"/>
  <c r="Z186"/>
  <c r="G119"/>
  <c r="S131"/>
  <c r="H132"/>
  <c r="L186"/>
  <c r="O186"/>
  <c r="AD186"/>
  <c r="H100"/>
  <c r="H110" s="1"/>
  <c r="S119"/>
  <c r="S156"/>
  <c r="S161" s="1"/>
  <c r="S141"/>
  <c r="S146" s="1"/>
  <c r="T100"/>
  <c r="T110" s="1"/>
  <c r="H146"/>
  <c r="R186"/>
  <c r="G131"/>
  <c r="G156"/>
  <c r="G161" s="1"/>
  <c r="M186"/>
  <c r="G100"/>
  <c r="W186"/>
  <c r="AE186"/>
  <c r="I186"/>
  <c r="A16"/>
  <c r="T141"/>
  <c r="T146" s="1"/>
  <c r="T119"/>
  <c r="T132" s="1"/>
  <c r="T156"/>
  <c r="T161" s="1"/>
  <c r="G141"/>
  <c r="G146" s="1"/>
  <c r="C202" l="1"/>
  <c r="C203" s="1"/>
  <c r="C204" s="1"/>
  <c r="C205" s="1"/>
  <c r="C206" s="1"/>
  <c r="C207" s="1"/>
  <c r="A44"/>
  <c r="A23"/>
  <c r="A27"/>
  <c r="A18"/>
  <c r="A11"/>
  <c r="A41"/>
  <c r="S110"/>
  <c r="N186"/>
  <c r="G110"/>
  <c r="AA186"/>
  <c r="H186"/>
  <c r="G132"/>
  <c r="S132"/>
  <c r="A26"/>
  <c r="T186"/>
  <c r="A152" l="1"/>
  <c r="A154"/>
  <c r="S186"/>
  <c r="H209" s="1"/>
  <c r="I209" s="1"/>
  <c r="G186"/>
  <c r="H191"/>
  <c r="H190"/>
  <c r="A49"/>
  <c r="H189" l="1"/>
  <c r="A43"/>
  <c r="A34" l="1"/>
  <c r="A73" l="1"/>
  <c r="A53" l="1"/>
  <c r="A113" l="1"/>
  <c r="A135" l="1"/>
  <c r="A150" l="1"/>
  <c r="A29" l="1"/>
  <c r="A166"/>
  <c r="A168" l="1"/>
  <c r="A12" l="1"/>
  <c r="I120" i="91" l="1"/>
  <c r="G24" i="78"/>
  <c r="L24"/>
  <c r="M24" s="1"/>
  <c r="L9" l="1"/>
  <c r="D24" i="79"/>
  <c r="H106" i="91"/>
  <c r="H97"/>
  <c r="I97" s="1"/>
  <c r="H31"/>
  <c r="I31" s="1"/>
  <c r="H118"/>
  <c r="I118" s="1"/>
  <c r="H114"/>
  <c r="I114" s="1"/>
  <c r="H112"/>
  <c r="I112" s="1"/>
  <c r="H110"/>
  <c r="I110" s="1"/>
  <c r="H108"/>
  <c r="I108" s="1"/>
  <c r="H101"/>
  <c r="I101" s="1"/>
  <c r="H81"/>
  <c r="H99"/>
  <c r="I99" s="1"/>
  <c r="F68" l="1"/>
  <c r="H73"/>
  <c r="I73" s="1"/>
  <c r="H71"/>
  <c r="I71" s="1"/>
  <c r="H70"/>
  <c r="H69"/>
  <c r="F63" l="1"/>
  <c r="F55"/>
  <c r="F50"/>
  <c r="F30"/>
  <c r="H33"/>
  <c r="I33" s="1"/>
  <c r="I116"/>
  <c r="F96"/>
  <c r="F93" s="1"/>
  <c r="H94"/>
  <c r="I94" s="1"/>
  <c r="H91"/>
  <c r="H90"/>
  <c r="F86"/>
  <c r="H83"/>
  <c r="H61"/>
  <c r="I61" s="1"/>
  <c r="H59"/>
  <c r="I59" s="1"/>
  <c r="H57"/>
  <c r="I57" s="1"/>
  <c r="H53"/>
  <c r="I53" s="1"/>
  <c r="H51"/>
  <c r="I51" s="1"/>
  <c r="H48"/>
  <c r="I48" s="1"/>
  <c r="H47"/>
  <c r="I47" s="1"/>
  <c r="F41"/>
  <c r="H45"/>
  <c r="I45" s="1"/>
  <c r="H44"/>
  <c r="I44" s="1"/>
  <c r="H43"/>
  <c r="I43" s="1"/>
  <c r="H38"/>
  <c r="I38" s="1"/>
  <c r="H35"/>
  <c r="I35" s="1"/>
  <c r="H28"/>
  <c r="I28" s="1"/>
  <c r="H24"/>
  <c r="I24" s="1"/>
  <c r="H22"/>
  <c r="I22" s="1"/>
  <c r="H20"/>
  <c r="I20" s="1"/>
  <c r="H18"/>
  <c r="I18" s="1"/>
  <c r="H16"/>
  <c r="I16" s="1"/>
  <c r="H12"/>
  <c r="I12" s="1"/>
  <c r="H10"/>
  <c r="I10" s="1"/>
  <c r="F5" l="1"/>
  <c r="H86"/>
  <c r="I86" s="1"/>
  <c r="H96"/>
  <c r="I96" s="1"/>
  <c r="I91"/>
  <c r="H46"/>
  <c r="I46" s="1"/>
  <c r="F89"/>
  <c r="F76" s="1"/>
  <c r="I90"/>
  <c r="D58" i="77" l="1"/>
  <c r="D10"/>
  <c r="F82" i="78" l="1"/>
  <c r="E82"/>
  <c r="D82"/>
  <c r="B82"/>
  <c r="G81"/>
  <c r="G82" s="1"/>
  <c r="F58"/>
  <c r="E58"/>
  <c r="D58"/>
  <c r="B58"/>
  <c r="G57"/>
  <c r="G58" s="1"/>
  <c r="F34"/>
  <c r="E34"/>
  <c r="D34"/>
  <c r="B34"/>
  <c r="G34"/>
  <c r="H16" i="72"/>
  <c r="H26"/>
  <c r="H36" l="1"/>
  <c r="U6" i="85" l="1"/>
  <c r="I32" i="73" l="1"/>
  <c r="I33"/>
  <c r="I34"/>
  <c r="I35"/>
  <c r="I36"/>
  <c r="I28" l="1"/>
  <c r="I29"/>
  <c r="I30"/>
  <c r="I31"/>
  <c r="I37"/>
  <c r="I38"/>
  <c r="I40"/>
  <c r="D13" l="1"/>
  <c r="F64" i="78" l="1"/>
  <c r="E64"/>
  <c r="D64"/>
  <c r="B64"/>
  <c r="L63"/>
  <c r="M63" s="1"/>
  <c r="G63"/>
  <c r="L36"/>
  <c r="M36" s="1"/>
  <c r="G36"/>
  <c r="F46"/>
  <c r="E46"/>
  <c r="D46"/>
  <c r="F28"/>
  <c r="E28"/>
  <c r="D28"/>
  <c r="B28"/>
  <c r="L27"/>
  <c r="M27" s="1"/>
  <c r="G27"/>
  <c r="G23"/>
  <c r="F55"/>
  <c r="E55"/>
  <c r="D55"/>
  <c r="B55"/>
  <c r="L54"/>
  <c r="M54" s="1"/>
  <c r="G54"/>
  <c r="G42"/>
  <c r="L42"/>
  <c r="M42" s="1"/>
  <c r="G28" l="1"/>
  <c r="B46"/>
  <c r="J127" i="116" l="1"/>
  <c r="J110" s="1"/>
  <c r="J116" s="1"/>
  <c r="C127"/>
  <c r="C110" s="1"/>
  <c r="C116" s="1"/>
  <c r="G312"/>
  <c r="F327"/>
  <c r="E327"/>
  <c r="E310" s="1"/>
  <c r="E316" s="1"/>
  <c r="C327"/>
  <c r="C310" s="1"/>
  <c r="C316" s="1"/>
  <c r="B327"/>
  <c r="G326"/>
  <c r="G325"/>
  <c r="D327"/>
  <c r="D310" s="1"/>
  <c r="D316" s="1"/>
  <c r="G323"/>
  <c r="G322"/>
  <c r="G321"/>
  <c r="G320"/>
  <c r="G319"/>
  <c r="G315"/>
  <c r="G314"/>
  <c r="G313"/>
  <c r="G311"/>
  <c r="F310"/>
  <c r="F316" s="1"/>
  <c r="B310"/>
  <c r="J152"/>
  <c r="J135" s="1"/>
  <c r="J141" s="1"/>
  <c r="N152"/>
  <c r="N135" s="1"/>
  <c r="N141" s="1"/>
  <c r="M152"/>
  <c r="M135" s="1"/>
  <c r="M141" s="1"/>
  <c r="K152"/>
  <c r="O151"/>
  <c r="O150"/>
  <c r="O149"/>
  <c r="O148"/>
  <c r="O147"/>
  <c r="L152"/>
  <c r="L135" s="1"/>
  <c r="L141" s="1"/>
  <c r="O145"/>
  <c r="O144"/>
  <c r="O140"/>
  <c r="O139"/>
  <c r="O138"/>
  <c r="O137"/>
  <c r="O136"/>
  <c r="D152"/>
  <c r="D135" s="1"/>
  <c r="D141" s="1"/>
  <c r="B152"/>
  <c r="B135" s="1"/>
  <c r="B141" s="1"/>
  <c r="F152"/>
  <c r="F135" s="1"/>
  <c r="F141" s="1"/>
  <c r="E152"/>
  <c r="E135" s="1"/>
  <c r="E141" s="1"/>
  <c r="C152"/>
  <c r="C135" s="1"/>
  <c r="C141" s="1"/>
  <c r="G151"/>
  <c r="G150"/>
  <c r="G149"/>
  <c r="G148"/>
  <c r="G147"/>
  <c r="G145"/>
  <c r="G144"/>
  <c r="G140"/>
  <c r="G139"/>
  <c r="G138"/>
  <c r="G137"/>
  <c r="G136"/>
  <c r="N127"/>
  <c r="N110" s="1"/>
  <c r="N116" s="1"/>
  <c r="K127"/>
  <c r="K110" s="1"/>
  <c r="K116" s="1"/>
  <c r="O126"/>
  <c r="O125"/>
  <c r="O124"/>
  <c r="O123"/>
  <c r="O122"/>
  <c r="O121"/>
  <c r="O120"/>
  <c r="M127"/>
  <c r="M110" s="1"/>
  <c r="M116" s="1"/>
  <c r="L127"/>
  <c r="L110" s="1"/>
  <c r="L116" s="1"/>
  <c r="O115"/>
  <c r="O114"/>
  <c r="O113"/>
  <c r="O112"/>
  <c r="O111"/>
  <c r="G121"/>
  <c r="F127"/>
  <c r="F110" s="1"/>
  <c r="F116" s="1"/>
  <c r="E127"/>
  <c r="E110" s="1"/>
  <c r="E116" s="1"/>
  <c r="D127"/>
  <c r="D110" s="1"/>
  <c r="D116" s="1"/>
  <c r="G126"/>
  <c r="G125"/>
  <c r="G124"/>
  <c r="G123"/>
  <c r="G122"/>
  <c r="G120"/>
  <c r="G115"/>
  <c r="G114"/>
  <c r="G113"/>
  <c r="G112"/>
  <c r="G111"/>
  <c r="O96"/>
  <c r="N102"/>
  <c r="N85" s="1"/>
  <c r="N91" s="1"/>
  <c r="M102"/>
  <c r="M85" s="1"/>
  <c r="M91" s="1"/>
  <c r="K102"/>
  <c r="K85" s="1"/>
  <c r="K91" s="1"/>
  <c r="O101"/>
  <c r="O100"/>
  <c r="O99"/>
  <c r="O98"/>
  <c r="O97"/>
  <c r="L102"/>
  <c r="L85" s="1"/>
  <c r="L91" s="1"/>
  <c r="O95"/>
  <c r="O94"/>
  <c r="O90"/>
  <c r="O89"/>
  <c r="O88"/>
  <c r="O87"/>
  <c r="O86"/>
  <c r="C102"/>
  <c r="C85" s="1"/>
  <c r="C91" s="1"/>
  <c r="G99"/>
  <c r="G96"/>
  <c r="F102"/>
  <c r="F85" s="1"/>
  <c r="F91" s="1"/>
  <c r="E102"/>
  <c r="E85" s="1"/>
  <c r="E91" s="1"/>
  <c r="G101"/>
  <c r="G100"/>
  <c r="G98"/>
  <c r="G97"/>
  <c r="D102"/>
  <c r="D85" s="1"/>
  <c r="D91" s="1"/>
  <c r="G95"/>
  <c r="G94"/>
  <c r="G90"/>
  <c r="G89"/>
  <c r="G88"/>
  <c r="G87"/>
  <c r="G86"/>
  <c r="K77"/>
  <c r="K60" s="1"/>
  <c r="K66" s="1"/>
  <c r="J77"/>
  <c r="J60" s="1"/>
  <c r="J66" s="1"/>
  <c r="N77"/>
  <c r="N60" s="1"/>
  <c r="N66" s="1"/>
  <c r="M77"/>
  <c r="M60" s="1"/>
  <c r="M66" s="1"/>
  <c r="O76"/>
  <c r="O75"/>
  <c r="O73"/>
  <c r="O72"/>
  <c r="L77"/>
  <c r="L60" s="1"/>
  <c r="L66" s="1"/>
  <c r="O70"/>
  <c r="O69"/>
  <c r="O65"/>
  <c r="O64"/>
  <c r="O63"/>
  <c r="O62"/>
  <c r="O61"/>
  <c r="G62"/>
  <c r="B77"/>
  <c r="F77"/>
  <c r="F60" s="1"/>
  <c r="F66" s="1"/>
  <c r="E77"/>
  <c r="E60" s="1"/>
  <c r="E66" s="1"/>
  <c r="C77"/>
  <c r="C60" s="1"/>
  <c r="C66" s="1"/>
  <c r="G76"/>
  <c r="G75"/>
  <c r="D77"/>
  <c r="D60" s="1"/>
  <c r="D66" s="1"/>
  <c r="G73"/>
  <c r="G72"/>
  <c r="G70"/>
  <c r="G69"/>
  <c r="G65"/>
  <c r="G64"/>
  <c r="G63"/>
  <c r="G61"/>
  <c r="K52"/>
  <c r="K35" s="1"/>
  <c r="K41" s="1"/>
  <c r="O46"/>
  <c r="N327"/>
  <c r="N310" s="1"/>
  <c r="M327"/>
  <c r="M310" s="1"/>
  <c r="L327"/>
  <c r="L310" s="1"/>
  <c r="K327"/>
  <c r="K310" s="1"/>
  <c r="K316" s="1"/>
  <c r="J327"/>
  <c r="J310" s="1"/>
  <c r="N52"/>
  <c r="N35" s="1"/>
  <c r="N41" s="1"/>
  <c r="M52"/>
  <c r="M35" s="1"/>
  <c r="M41" s="1"/>
  <c r="L52"/>
  <c r="L35" s="1"/>
  <c r="L41" s="1"/>
  <c r="F52"/>
  <c r="F35" s="1"/>
  <c r="E52"/>
  <c r="E35" s="1"/>
  <c r="D52"/>
  <c r="D35" s="1"/>
  <c r="B52"/>
  <c r="B35" s="1"/>
  <c r="C335"/>
  <c r="O51"/>
  <c r="O49"/>
  <c r="O48"/>
  <c r="O47"/>
  <c r="O45"/>
  <c r="O44"/>
  <c r="O40"/>
  <c r="O39"/>
  <c r="O38"/>
  <c r="O37"/>
  <c r="O36"/>
  <c r="C52"/>
  <c r="C35" s="1"/>
  <c r="K135" l="1"/>
  <c r="K141" s="1"/>
  <c r="B316"/>
  <c r="J102"/>
  <c r="J85" s="1"/>
  <c r="J91" s="1"/>
  <c r="B60"/>
  <c r="B66" s="1"/>
  <c r="O50"/>
  <c r="O52" s="1"/>
  <c r="O35" s="1"/>
  <c r="O41" s="1"/>
  <c r="J52"/>
  <c r="J35" s="1"/>
  <c r="J41" s="1"/>
  <c r="O71"/>
  <c r="B102"/>
  <c r="B85" s="1"/>
  <c r="B91" s="1"/>
  <c r="B127"/>
  <c r="B110" s="1"/>
  <c r="B116" s="1"/>
  <c r="G324"/>
  <c r="G327" s="1"/>
  <c r="G310" s="1"/>
  <c r="G316" s="1"/>
  <c r="O146"/>
  <c r="O152" s="1"/>
  <c r="O135" s="1"/>
  <c r="O141" s="1"/>
  <c r="G146"/>
  <c r="G152" s="1"/>
  <c r="G135" s="1"/>
  <c r="G141" s="1"/>
  <c r="O119"/>
  <c r="O127" s="1"/>
  <c r="O110" s="1"/>
  <c r="O116" s="1"/>
  <c r="G119"/>
  <c r="G127" s="1"/>
  <c r="G110" s="1"/>
  <c r="G116" s="1"/>
  <c r="O102"/>
  <c r="O85" s="1"/>
  <c r="O91" s="1"/>
  <c r="G102"/>
  <c r="G85" s="1"/>
  <c r="G91" s="1"/>
  <c r="O74"/>
  <c r="G71"/>
  <c r="G74"/>
  <c r="O77" l="1"/>
  <c r="O60" s="1"/>
  <c r="O66" s="1"/>
  <c r="G77"/>
  <c r="G60" s="1"/>
  <c r="G66" s="1"/>
  <c r="F41"/>
  <c r="E41"/>
  <c r="D41"/>
  <c r="B41"/>
  <c r="C41"/>
  <c r="G51"/>
  <c r="G50"/>
  <c r="G49"/>
  <c r="G48"/>
  <c r="G47"/>
  <c r="G46"/>
  <c r="G45"/>
  <c r="G44"/>
  <c r="G40"/>
  <c r="G39"/>
  <c r="G38"/>
  <c r="G37"/>
  <c r="G36"/>
  <c r="G52" l="1"/>
  <c r="G35" s="1"/>
  <c r="G41" s="1"/>
  <c r="F27" l="1"/>
  <c r="F10" s="1"/>
  <c r="F16" s="1"/>
  <c r="E27"/>
  <c r="E10" s="1"/>
  <c r="E16" s="1"/>
  <c r="D27"/>
  <c r="C27"/>
  <c r="C10" s="1"/>
  <c r="C16" s="1"/>
  <c r="K27"/>
  <c r="F335"/>
  <c r="E335"/>
  <c r="D335"/>
  <c r="B335"/>
  <c r="G333"/>
  <c r="G335" s="1"/>
  <c r="M316"/>
  <c r="J316"/>
  <c r="O326"/>
  <c r="O325"/>
  <c r="O323"/>
  <c r="O322"/>
  <c r="O321"/>
  <c r="O320"/>
  <c r="O319"/>
  <c r="O315"/>
  <c r="O314"/>
  <c r="O313"/>
  <c r="O312"/>
  <c r="O311"/>
  <c r="N316"/>
  <c r="N27"/>
  <c r="N10" s="1"/>
  <c r="N16" s="1"/>
  <c r="M27"/>
  <c r="M10" s="1"/>
  <c r="M16" s="1"/>
  <c r="L27"/>
  <c r="J27"/>
  <c r="O26"/>
  <c r="G26"/>
  <c r="O25"/>
  <c r="O24"/>
  <c r="O23"/>
  <c r="G23"/>
  <c r="O22"/>
  <c r="O21"/>
  <c r="G21"/>
  <c r="O20"/>
  <c r="G20"/>
  <c r="O19"/>
  <c r="O15"/>
  <c r="G15"/>
  <c r="O14"/>
  <c r="G14"/>
  <c r="O13"/>
  <c r="G13"/>
  <c r="O12"/>
  <c r="G12"/>
  <c r="O11"/>
  <c r="G11"/>
  <c r="L10"/>
  <c r="L16" s="1"/>
  <c r="J10"/>
  <c r="K10" l="1"/>
  <c r="K16" s="1"/>
  <c r="Q327"/>
  <c r="D10"/>
  <c r="D16" s="1"/>
  <c r="J16"/>
  <c r="B27"/>
  <c r="B10" s="1"/>
  <c r="B16" s="1"/>
  <c r="O324"/>
  <c r="O327" s="1"/>
  <c r="O310" s="1"/>
  <c r="O27"/>
  <c r="O10" s="1"/>
  <c r="O16" s="1"/>
  <c r="L316"/>
  <c r="G19"/>
  <c r="G22"/>
  <c r="G24"/>
  <c r="G25"/>
  <c r="Q310" l="1"/>
  <c r="G27"/>
  <c r="G10" s="1"/>
  <c r="G16" s="1"/>
  <c r="O316"/>
  <c r="D25" i="74" l="1"/>
  <c r="D23" i="89" l="1"/>
  <c r="D21"/>
  <c r="I20"/>
  <c r="D32" i="77"/>
  <c r="D38"/>
  <c r="D34" s="1"/>
  <c r="A169" i="84" l="1"/>
  <c r="A170" s="1"/>
  <c r="F36" i="90"/>
  <c r="E36"/>
  <c r="D36"/>
  <c r="F35"/>
  <c r="E35"/>
  <c r="D35"/>
  <c r="F34"/>
  <c r="E34"/>
  <c r="D34"/>
  <c r="F33"/>
  <c r="E33"/>
  <c r="D33"/>
  <c r="F32"/>
  <c r="E32"/>
  <c r="D32"/>
  <c r="F31"/>
  <c r="E31"/>
  <c r="D31"/>
  <c r="F30"/>
  <c r="E30"/>
  <c r="D30"/>
  <c r="F29"/>
  <c r="E29"/>
  <c r="D29"/>
  <c r="F28"/>
  <c r="E28"/>
  <c r="D28"/>
  <c r="F26"/>
  <c r="E26"/>
  <c r="D26"/>
  <c r="F25"/>
  <c r="E25"/>
  <c r="D25"/>
  <c r="F24"/>
  <c r="E24"/>
  <c r="D24"/>
  <c r="F23"/>
  <c r="E23"/>
  <c r="D23"/>
  <c r="F22"/>
  <c r="E22"/>
  <c r="D22"/>
  <c r="F21"/>
  <c r="E21"/>
  <c r="D21"/>
  <c r="F20"/>
  <c r="E20"/>
  <c r="D20"/>
  <c r="F19"/>
  <c r="E19"/>
  <c r="D19"/>
  <c r="F18"/>
  <c r="E18"/>
  <c r="D18"/>
  <c r="F14"/>
  <c r="E14"/>
  <c r="D14"/>
  <c r="F12"/>
  <c r="E12"/>
  <c r="D12"/>
  <c r="E11"/>
  <c r="D11"/>
  <c r="G16" i="72"/>
  <c r="G26"/>
  <c r="G36" l="1"/>
  <c r="E17" i="90"/>
  <c r="D17"/>
  <c r="D27"/>
  <c r="F27"/>
  <c r="E27"/>
  <c r="F17"/>
  <c r="F37" s="1"/>
  <c r="A171" i="84"/>
  <c r="E37" i="90" l="1"/>
  <c r="D37"/>
  <c r="A172" i="84"/>
  <c r="A173" l="1"/>
  <c r="G103" i="76"/>
  <c r="A174" i="84" l="1"/>
  <c r="AB9" i="75"/>
  <c r="A175" i="84" l="1"/>
  <c r="A176" l="1"/>
  <c r="A177" l="1"/>
  <c r="A178" l="1"/>
  <c r="A179" l="1"/>
  <c r="A180" l="1"/>
  <c r="A181" l="1"/>
  <c r="A182" l="1"/>
  <c r="D18" i="79"/>
  <c r="A183" i="84" l="1"/>
  <c r="A184" l="1"/>
  <c r="A185" l="1"/>
  <c r="A186" l="1"/>
  <c r="A187" l="1"/>
  <c r="A188" l="1"/>
  <c r="A189" l="1"/>
  <c r="A190" l="1"/>
  <c r="A191" l="1"/>
  <c r="A192" l="1"/>
  <c r="A193" l="1"/>
  <c r="A194" l="1"/>
  <c r="A195" l="1"/>
  <c r="A196" l="1"/>
  <c r="D179" i="76"/>
  <c r="D178" s="1"/>
  <c r="A197" i="84" l="1"/>
  <c r="A198" l="1"/>
  <c r="A199" l="1"/>
  <c r="A200" l="1"/>
  <c r="A201" l="1"/>
  <c r="A202" l="1"/>
  <c r="A203" l="1"/>
  <c r="A204" l="1"/>
  <c r="A205" l="1"/>
  <c r="A206" l="1"/>
  <c r="A207" l="1"/>
  <c r="A208" l="1"/>
  <c r="A209" l="1"/>
  <c r="A210" l="1"/>
  <c r="A211" l="1"/>
  <c r="A212" l="1"/>
  <c r="A213" l="1"/>
  <c r="A214" l="1"/>
  <c r="A215" l="1"/>
  <c r="D21" i="70"/>
  <c r="B24"/>
  <c r="A216" i="84" l="1"/>
  <c r="A217" l="1"/>
  <c r="A218" l="1"/>
  <c r="A219" l="1"/>
  <c r="A220" l="1"/>
  <c r="A221" l="1"/>
  <c r="A222" l="1"/>
  <c r="A223" l="1"/>
  <c r="A224" l="1"/>
  <c r="A225" l="1"/>
  <c r="A226" l="1"/>
  <c r="A227" l="1"/>
  <c r="A228" s="1"/>
  <c r="A229" l="1"/>
  <c r="A230" l="1"/>
  <c r="A231" l="1"/>
  <c r="A232" l="1"/>
  <c r="A233" l="1"/>
  <c r="G11" i="72"/>
  <c r="H11" s="1"/>
  <c r="I11" s="1"/>
  <c r="D10" i="79"/>
  <c r="A234" i="84" l="1"/>
  <c r="A235" l="1"/>
  <c r="A236" l="1"/>
  <c r="A237" l="1"/>
  <c r="A238" l="1"/>
  <c r="A239" l="1"/>
  <c r="A240" s="1"/>
  <c r="A242" s="1"/>
  <c r="A243" s="1"/>
  <c r="A244" s="1"/>
  <c r="A245" s="1"/>
  <c r="A246" s="1"/>
  <c r="A247" s="1"/>
  <c r="A249" s="1"/>
  <c r="A253" s="1"/>
  <c r="A254" s="1"/>
  <c r="A255" l="1"/>
  <c r="A256" l="1"/>
  <c r="A257" l="1"/>
  <c r="A259" l="1"/>
  <c r="A260" l="1"/>
  <c r="A261" l="1"/>
  <c r="A263" l="1"/>
  <c r="A264" l="1"/>
  <c r="A265" l="1"/>
  <c r="A266" l="1"/>
  <c r="A267" l="1"/>
  <c r="A268" l="1"/>
  <c r="A269" l="1"/>
  <c r="A273" l="1"/>
  <c r="A274" l="1"/>
  <c r="A275" l="1"/>
  <c r="A276" l="1"/>
  <c r="A277" l="1"/>
  <c r="L12" i="78"/>
  <c r="M12" s="1"/>
  <c r="G12"/>
  <c r="A278" i="84" l="1"/>
  <c r="A280" l="1"/>
  <c r="A282" l="1"/>
  <c r="A286" l="1"/>
  <c r="L10" i="78"/>
  <c r="M10" s="1"/>
  <c r="G10"/>
  <c r="L11"/>
  <c r="M11" s="1"/>
  <c r="G11"/>
  <c r="M9"/>
  <c r="G9"/>
  <c r="A287" i="84" l="1"/>
  <c r="A288" l="1"/>
  <c r="A289" l="1"/>
  <c r="A290" l="1"/>
  <c r="A292" l="1"/>
  <c r="A294" l="1"/>
  <c r="A298" l="1"/>
  <c r="A300" l="1"/>
  <c r="A301" l="1"/>
  <c r="A303" l="1"/>
  <c r="A307" l="1"/>
  <c r="A308" l="1"/>
  <c r="A309" l="1"/>
  <c r="A310" l="1"/>
  <c r="A311" l="1"/>
  <c r="A313" l="1"/>
  <c r="A315" l="1"/>
  <c r="G45" i="78"/>
  <c r="G46" s="1"/>
  <c r="D18" i="89" l="1"/>
  <c r="J8"/>
  <c r="J12" s="1"/>
  <c r="J19"/>
  <c r="J18"/>
  <c r="K19"/>
  <c r="K18"/>
  <c r="K17"/>
  <c r="J16"/>
  <c r="I16"/>
  <c r="K15"/>
  <c r="K14"/>
  <c r="K13"/>
  <c r="J20" l="1"/>
  <c r="K20"/>
  <c r="K16"/>
  <c r="K9"/>
  <c r="K10"/>
  <c r="K11"/>
  <c r="K8"/>
  <c r="I12"/>
  <c r="K12" s="1"/>
  <c r="R26" i="72"/>
  <c r="R16"/>
  <c r="S26"/>
  <c r="S16"/>
  <c r="J26"/>
  <c r="J16"/>
  <c r="K26"/>
  <c r="K16"/>
  <c r="L26"/>
  <c r="L16"/>
  <c r="M26"/>
  <c r="M16"/>
  <c r="N26"/>
  <c r="N16"/>
  <c r="O26"/>
  <c r="O16"/>
  <c r="P26"/>
  <c r="P16"/>
  <c r="Q26"/>
  <c r="Q16"/>
  <c r="I42" i="73"/>
  <c r="F37" i="78"/>
  <c r="E37"/>
  <c r="D37"/>
  <c r="B37"/>
  <c r="L23"/>
  <c r="L20"/>
  <c r="D96" i="77"/>
  <c r="D57"/>
  <c r="D62" s="1"/>
  <c r="R36" i="72" l="1"/>
  <c r="K36"/>
  <c r="S36"/>
  <c r="J36"/>
  <c r="Q36"/>
  <c r="M36"/>
  <c r="O36"/>
  <c r="P36"/>
  <c r="N36"/>
  <c r="L36"/>
  <c r="C12" i="74" l="1"/>
  <c r="C25"/>
  <c r="D8" i="72"/>
  <c r="E8" s="1"/>
  <c r="F8" s="1"/>
  <c r="D9" i="90" l="1"/>
  <c r="D57" i="70"/>
  <c r="F57" s="1"/>
  <c r="H57" s="1"/>
  <c r="D56"/>
  <c r="F61"/>
  <c r="F60" s="1"/>
  <c r="E60"/>
  <c r="D60"/>
  <c r="C60"/>
  <c r="B60"/>
  <c r="F59"/>
  <c r="F58" s="1"/>
  <c r="E58"/>
  <c r="D58"/>
  <c r="C58"/>
  <c r="B58"/>
  <c r="E55"/>
  <c r="C55"/>
  <c r="B49"/>
  <c r="F52"/>
  <c r="H52" s="1"/>
  <c r="E51"/>
  <c r="D51"/>
  <c r="C51"/>
  <c r="B51"/>
  <c r="E49"/>
  <c r="C49"/>
  <c r="F48"/>
  <c r="F47" s="1"/>
  <c r="E47"/>
  <c r="D47"/>
  <c r="C47"/>
  <c r="B47"/>
  <c r="E37"/>
  <c r="C37"/>
  <c r="F44"/>
  <c r="H44" s="1"/>
  <c r="E43"/>
  <c r="D43"/>
  <c r="C43"/>
  <c r="B43"/>
  <c r="F42"/>
  <c r="F41" s="1"/>
  <c r="E41"/>
  <c r="D41"/>
  <c r="C41"/>
  <c r="B41"/>
  <c r="D30"/>
  <c r="F30" s="1"/>
  <c r="D29"/>
  <c r="F29" s="1"/>
  <c r="E28"/>
  <c r="C28"/>
  <c r="F34"/>
  <c r="H34" s="1"/>
  <c r="E33"/>
  <c r="D33"/>
  <c r="C33"/>
  <c r="B33"/>
  <c r="F32"/>
  <c r="F31" s="1"/>
  <c r="E31"/>
  <c r="D31"/>
  <c r="C31"/>
  <c r="B31"/>
  <c r="H42" l="1"/>
  <c r="H48"/>
  <c r="C62"/>
  <c r="H58"/>
  <c r="E62"/>
  <c r="H61"/>
  <c r="H60"/>
  <c r="H32"/>
  <c r="H59"/>
  <c r="D55"/>
  <c r="D62" s="1"/>
  <c r="F56"/>
  <c r="B55"/>
  <c r="B62" s="1"/>
  <c r="D50"/>
  <c r="F51"/>
  <c r="F43"/>
  <c r="D28"/>
  <c r="F28"/>
  <c r="H29"/>
  <c r="B28"/>
  <c r="H30"/>
  <c r="F33"/>
  <c r="F55" l="1"/>
  <c r="H56"/>
  <c r="F50"/>
  <c r="D49"/>
  <c r="F62" l="1"/>
  <c r="H62" s="1"/>
  <c r="H55"/>
  <c r="H50"/>
  <c r="F49"/>
  <c r="F233" i="109"/>
  <c r="E233"/>
  <c r="D233"/>
  <c r="M23" i="78"/>
  <c r="L30"/>
  <c r="M30" s="1"/>
  <c r="L45"/>
  <c r="M45" s="1"/>
  <c r="D17" i="79"/>
  <c r="G55" i="78"/>
  <c r="G87"/>
  <c r="G88" s="1"/>
  <c r="G60"/>
  <c r="G61" s="1"/>
  <c r="G48"/>
  <c r="G49" s="1"/>
  <c r="G37"/>
  <c r="G64"/>
  <c r="F15"/>
  <c r="E15"/>
  <c r="D15"/>
  <c r="B15"/>
  <c r="D17" i="70"/>
  <c r="A7" i="85"/>
  <c r="D134" i="77"/>
  <c r="D101"/>
  <c r="H199" i="61"/>
  <c r="H184"/>
  <c r="H94"/>
  <c r="H79"/>
  <c r="C14" i="90"/>
  <c r="C18"/>
  <c r="C19"/>
  <c r="C20"/>
  <c r="C21"/>
  <c r="C22"/>
  <c r="C23"/>
  <c r="C24"/>
  <c r="C25"/>
  <c r="C26"/>
  <c r="C28"/>
  <c r="C29"/>
  <c r="C30"/>
  <c r="C31"/>
  <c r="C32"/>
  <c r="C33"/>
  <c r="C34"/>
  <c r="C35"/>
  <c r="C36"/>
  <c r="E8" i="89"/>
  <c r="F8" s="1"/>
  <c r="E9"/>
  <c r="E10"/>
  <c r="D11"/>
  <c r="E11" s="1"/>
  <c r="C12"/>
  <c r="D13"/>
  <c r="E13" s="1"/>
  <c r="E14"/>
  <c r="D15"/>
  <c r="E15" s="1"/>
  <c r="C16"/>
  <c r="E17"/>
  <c r="E19"/>
  <c r="C20"/>
  <c r="H13" i="88"/>
  <c r="H14"/>
  <c r="H15"/>
  <c r="H16"/>
  <c r="H17"/>
  <c r="H18"/>
  <c r="C19"/>
  <c r="D19"/>
  <c r="E19"/>
  <c r="F19"/>
  <c r="G19"/>
  <c r="A8" i="84"/>
  <c r="A9" s="1"/>
  <c r="D28" i="79"/>
  <c r="D32"/>
  <c r="G15" i="78"/>
  <c r="G17"/>
  <c r="G18" s="1"/>
  <c r="B18"/>
  <c r="D18"/>
  <c r="E18"/>
  <c r="F18"/>
  <c r="G20"/>
  <c r="G21" s="1"/>
  <c r="B21"/>
  <c r="D21"/>
  <c r="E21"/>
  <c r="F21"/>
  <c r="G30"/>
  <c r="G31" s="1"/>
  <c r="B31"/>
  <c r="D31"/>
  <c r="E31"/>
  <c r="F31"/>
  <c r="B49"/>
  <c r="D49"/>
  <c r="E49"/>
  <c r="F49"/>
  <c r="G51"/>
  <c r="G52" s="1"/>
  <c r="B52"/>
  <c r="D52"/>
  <c r="E52"/>
  <c r="F52"/>
  <c r="B61"/>
  <c r="D61"/>
  <c r="E61"/>
  <c r="F61"/>
  <c r="G69"/>
  <c r="G70" s="1"/>
  <c r="B70"/>
  <c r="D70"/>
  <c r="E70"/>
  <c r="F70"/>
  <c r="G72"/>
  <c r="G73" s="1"/>
  <c r="B73"/>
  <c r="D73"/>
  <c r="E73"/>
  <c r="F73"/>
  <c r="G75"/>
  <c r="G76" s="1"/>
  <c r="B76"/>
  <c r="D76"/>
  <c r="E76"/>
  <c r="F76"/>
  <c r="G78"/>
  <c r="G79" s="1"/>
  <c r="B79"/>
  <c r="D79"/>
  <c r="E79"/>
  <c r="F79"/>
  <c r="G84"/>
  <c r="G85" s="1"/>
  <c r="B85"/>
  <c r="D85"/>
  <c r="E85"/>
  <c r="F85"/>
  <c r="B88"/>
  <c r="D88"/>
  <c r="E88"/>
  <c r="F88"/>
  <c r="D11" i="77"/>
  <c r="D9" s="1"/>
  <c r="D26" s="1"/>
  <c r="D70" s="1"/>
  <c r="D17"/>
  <c r="D12" i="76"/>
  <c r="D11" s="1"/>
  <c r="D25"/>
  <c r="D32"/>
  <c r="D44"/>
  <c r="D51"/>
  <c r="D58"/>
  <c r="D64"/>
  <c r="D224"/>
  <c r="E79"/>
  <c r="D88"/>
  <c r="D87" s="1"/>
  <c r="D86" s="1"/>
  <c r="E94"/>
  <c r="D230"/>
  <c r="D110"/>
  <c r="D116"/>
  <c r="D123"/>
  <c r="D146"/>
  <c r="D132" s="1"/>
  <c r="D150"/>
  <c r="D159"/>
  <c r="D165"/>
  <c r="D177"/>
  <c r="D227"/>
  <c r="D225" s="1"/>
  <c r="E184"/>
  <c r="D234"/>
  <c r="E199"/>
  <c r="D223"/>
  <c r="D226"/>
  <c r="D233"/>
  <c r="D232" s="1"/>
  <c r="AB4" i="75"/>
  <c r="AB5"/>
  <c r="AB6"/>
  <c r="P7"/>
  <c r="P16" s="1"/>
  <c r="AB7"/>
  <c r="P8"/>
  <c r="AB8"/>
  <c r="P9"/>
  <c r="AB10"/>
  <c r="P10"/>
  <c r="W11"/>
  <c r="X11"/>
  <c r="Y11"/>
  <c r="Z11"/>
  <c r="AA11"/>
  <c r="P11"/>
  <c r="P12"/>
  <c r="P13"/>
  <c r="P14"/>
  <c r="P15"/>
  <c r="D16"/>
  <c r="E16"/>
  <c r="F16"/>
  <c r="G16"/>
  <c r="H16"/>
  <c r="I16"/>
  <c r="J16"/>
  <c r="K16"/>
  <c r="L16"/>
  <c r="M16"/>
  <c r="N16"/>
  <c r="O16"/>
  <c r="P18"/>
  <c r="P19"/>
  <c r="P20"/>
  <c r="P21"/>
  <c r="P22"/>
  <c r="P23"/>
  <c r="P24"/>
  <c r="P25"/>
  <c r="P26"/>
  <c r="P27"/>
  <c r="D28"/>
  <c r="E28"/>
  <c r="F28"/>
  <c r="G28"/>
  <c r="H28"/>
  <c r="I28"/>
  <c r="J28"/>
  <c r="K28"/>
  <c r="L28"/>
  <c r="M28"/>
  <c r="M29" s="1"/>
  <c r="N28"/>
  <c r="O28"/>
  <c r="D9" i="73"/>
  <c r="E9"/>
  <c r="F9"/>
  <c r="G9"/>
  <c r="H9"/>
  <c r="I10"/>
  <c r="I9" s="1"/>
  <c r="D11"/>
  <c r="E11"/>
  <c r="F11"/>
  <c r="G11"/>
  <c r="H11"/>
  <c r="I12"/>
  <c r="I11" s="1"/>
  <c r="E13"/>
  <c r="F13"/>
  <c r="G13"/>
  <c r="H13"/>
  <c r="I14"/>
  <c r="I13" s="1"/>
  <c r="D15"/>
  <c r="E15"/>
  <c r="F15"/>
  <c r="G15"/>
  <c r="H15"/>
  <c r="I16"/>
  <c r="I45"/>
  <c r="I41" s="1"/>
  <c r="F10" i="72"/>
  <c r="F11" i="90" s="1"/>
  <c r="J11" i="72"/>
  <c r="K11" s="1"/>
  <c r="L11" s="1"/>
  <c r="M11" s="1"/>
  <c r="N11" s="1"/>
  <c r="O11" s="1"/>
  <c r="P11" s="1"/>
  <c r="Q11" s="1"/>
  <c r="R11" s="1"/>
  <c r="S11" s="1"/>
  <c r="T11" s="1"/>
  <c r="C16"/>
  <c r="D16"/>
  <c r="E16"/>
  <c r="F16"/>
  <c r="I16"/>
  <c r="T16"/>
  <c r="U17"/>
  <c r="U18"/>
  <c r="U19"/>
  <c r="U20"/>
  <c r="U21"/>
  <c r="U22"/>
  <c r="U23"/>
  <c r="U24"/>
  <c r="U25"/>
  <c r="C26"/>
  <c r="D26"/>
  <c r="E26"/>
  <c r="F26"/>
  <c r="I26"/>
  <c r="T26"/>
  <c r="U27"/>
  <c r="U28"/>
  <c r="U29"/>
  <c r="U30"/>
  <c r="U31"/>
  <c r="U32"/>
  <c r="U33"/>
  <c r="U34"/>
  <c r="U35"/>
  <c r="C50"/>
  <c r="D9" i="70"/>
  <c r="E9"/>
  <c r="C11"/>
  <c r="E11"/>
  <c r="B13"/>
  <c r="C13"/>
  <c r="D13"/>
  <c r="E13"/>
  <c r="F14"/>
  <c r="F13" s="1"/>
  <c r="C24"/>
  <c r="D24"/>
  <c r="E24"/>
  <c r="F25"/>
  <c r="F24" s="1"/>
  <c r="H24" s="1"/>
  <c r="H31"/>
  <c r="H33"/>
  <c r="C35"/>
  <c r="E35"/>
  <c r="H41"/>
  <c r="H43"/>
  <c r="C45"/>
  <c r="E45"/>
  <c r="H47"/>
  <c r="C53"/>
  <c r="E53"/>
  <c r="C71"/>
  <c r="C75" s="1"/>
  <c r="C77" s="1"/>
  <c r="D71"/>
  <c r="D75" s="1"/>
  <c r="D77" s="1"/>
  <c r="C10" i="69"/>
  <c r="C12"/>
  <c r="C14"/>
  <c r="C15"/>
  <c r="H15"/>
  <c r="C16"/>
  <c r="H16"/>
  <c r="C17"/>
  <c r="H17"/>
  <c r="I25"/>
  <c r="J25"/>
  <c r="K25"/>
  <c r="D26"/>
  <c r="E26"/>
  <c r="F26"/>
  <c r="C12" i="68"/>
  <c r="C14"/>
  <c r="C16"/>
  <c r="C17"/>
  <c r="I25"/>
  <c r="J25"/>
  <c r="K25"/>
  <c r="D26"/>
  <c r="E26"/>
  <c r="F26"/>
  <c r="D230" i="97"/>
  <c r="C160"/>
  <c r="H160" s="1"/>
  <c r="D194"/>
  <c r="D193" s="1"/>
  <c r="D192" s="1"/>
  <c r="F234"/>
  <c r="E233"/>
  <c r="E234"/>
  <c r="C240"/>
  <c r="H240" s="1"/>
  <c r="C92" i="67"/>
  <c r="H92" s="1"/>
  <c r="C95"/>
  <c r="H95" s="1"/>
  <c r="C98"/>
  <c r="H98" s="1"/>
  <c r="C111"/>
  <c r="H111" s="1"/>
  <c r="D234"/>
  <c r="F234"/>
  <c r="E233"/>
  <c r="E234"/>
  <c r="C204"/>
  <c r="H204" s="1"/>
  <c r="C206"/>
  <c r="H206" s="1"/>
  <c r="C57" i="66"/>
  <c r="H57" s="1"/>
  <c r="D230"/>
  <c r="C100"/>
  <c r="H100" s="1"/>
  <c r="C115"/>
  <c r="H115" s="1"/>
  <c r="C160"/>
  <c r="H160" s="1"/>
  <c r="C196"/>
  <c r="H196" s="1"/>
  <c r="E234"/>
  <c r="E233"/>
  <c r="F233"/>
  <c r="D194"/>
  <c r="D193" s="1"/>
  <c r="D192" s="1"/>
  <c r="D234" i="65"/>
  <c r="E233"/>
  <c r="F233"/>
  <c r="C203"/>
  <c r="H203" s="1"/>
  <c r="C201" i="64"/>
  <c r="H201" s="1"/>
  <c r="C203"/>
  <c r="H203" s="1"/>
  <c r="C206"/>
  <c r="H206" s="1"/>
  <c r="C240" i="67"/>
  <c r="H240" s="1"/>
  <c r="C139" i="97"/>
  <c r="H139" s="1"/>
  <c r="E230" i="66"/>
  <c r="C97"/>
  <c r="H97" s="1"/>
  <c r="F230"/>
  <c r="C201" i="97"/>
  <c r="H201" s="1"/>
  <c r="C90"/>
  <c r="H90" s="1"/>
  <c r="C206" i="66"/>
  <c r="H206" s="1"/>
  <c r="C198"/>
  <c r="H198" s="1"/>
  <c r="C139" i="67"/>
  <c r="H139" s="1"/>
  <c r="C204" i="97"/>
  <c r="H204" s="1"/>
  <c r="C93"/>
  <c r="H93" s="1"/>
  <c r="C204" i="64"/>
  <c r="H204" s="1"/>
  <c r="C195"/>
  <c r="H195" s="1"/>
  <c r="C91" i="67"/>
  <c r="H91" s="1"/>
  <c r="D230"/>
  <c r="F194" i="66"/>
  <c r="F193" s="1"/>
  <c r="F192" s="1"/>
  <c r="C151"/>
  <c r="H151" s="1"/>
  <c r="C99"/>
  <c r="H99" s="1"/>
  <c r="C95"/>
  <c r="H95" s="1"/>
  <c r="C90"/>
  <c r="H90" s="1"/>
  <c r="C57" i="67"/>
  <c r="H57" s="1"/>
  <c r="C204" i="65"/>
  <c r="H204" s="1"/>
  <c r="C196"/>
  <c r="H196" s="1"/>
  <c r="C196" i="97"/>
  <c r="H196" s="1"/>
  <c r="C93" i="67"/>
  <c r="H93" s="1"/>
  <c r="F194" i="65"/>
  <c r="F193" s="1"/>
  <c r="F192" s="1"/>
  <c r="C117" i="66"/>
  <c r="H117" s="1"/>
  <c r="C91" i="97"/>
  <c r="C89" i="66"/>
  <c r="H89" s="1"/>
  <c r="C202" i="67"/>
  <c r="H202" s="1"/>
  <c r="C92" i="97"/>
  <c r="H92" s="1"/>
  <c r="C89" i="67"/>
  <c r="H89" s="1"/>
  <c r="C160"/>
  <c r="H160" s="1"/>
  <c r="C200" i="64"/>
  <c r="C233" s="1"/>
  <c r="D233"/>
  <c r="C198"/>
  <c r="H198" s="1"/>
  <c r="C200" i="65"/>
  <c r="C233" s="1"/>
  <c r="D233"/>
  <c r="D194"/>
  <c r="D193" s="1"/>
  <c r="D192" s="1"/>
  <c r="D233" i="97"/>
  <c r="D233" i="67"/>
  <c r="C200"/>
  <c r="H200" s="1"/>
  <c r="C197" i="64"/>
  <c r="H197" s="1"/>
  <c r="C202" i="65"/>
  <c r="H202" s="1"/>
  <c r="E194"/>
  <c r="E193" s="1"/>
  <c r="E192" s="1"/>
  <c r="C205" i="66"/>
  <c r="H205" s="1"/>
  <c r="C197"/>
  <c r="H197" s="1"/>
  <c r="D233"/>
  <c r="C200"/>
  <c r="H200" s="1"/>
  <c r="C89" i="97"/>
  <c r="H89" s="1"/>
  <c r="C202" i="64"/>
  <c r="H202" s="1"/>
  <c r="C196"/>
  <c r="H196" s="1"/>
  <c r="C201" i="65"/>
  <c r="H201" s="1"/>
  <c r="C206" i="97"/>
  <c r="H206" s="1"/>
  <c r="C198"/>
  <c r="H198" s="1"/>
  <c r="C195" i="66"/>
  <c r="H195" s="1"/>
  <c r="C195" i="97"/>
  <c r="H195" s="1"/>
  <c r="C199" i="65"/>
  <c r="H199" s="1"/>
  <c r="C195"/>
  <c r="H195" s="1"/>
  <c r="C98"/>
  <c r="H98" s="1"/>
  <c r="C199" i="66"/>
  <c r="H199" s="1"/>
  <c r="C98"/>
  <c r="H98" s="1"/>
  <c r="C199" i="67"/>
  <c r="H199" s="1"/>
  <c r="C203" i="97"/>
  <c r="H203" s="1"/>
  <c r="C111" i="66"/>
  <c r="H111" s="1"/>
  <c r="C96"/>
  <c r="H96" s="1"/>
  <c r="C24"/>
  <c r="H24" s="1"/>
  <c r="C115" i="67"/>
  <c r="H115" s="1"/>
  <c r="C100"/>
  <c r="H100" s="1"/>
  <c r="C96"/>
  <c r="H96" s="1"/>
  <c r="C24"/>
  <c r="H24" s="1"/>
  <c r="C115" i="97"/>
  <c r="H115" s="1"/>
  <c r="C111"/>
  <c r="H111" s="1"/>
  <c r="C96"/>
  <c r="H96" s="1"/>
  <c r="C98"/>
  <c r="H98" s="1"/>
  <c r="H25" i="70"/>
  <c r="H14"/>
  <c r="B11"/>
  <c r="F12"/>
  <c r="F11" s="1"/>
  <c r="D11"/>
  <c r="D15" s="1"/>
  <c r="C205" i="65"/>
  <c r="H205" s="1"/>
  <c r="C197" i="67"/>
  <c r="F234" i="65"/>
  <c r="C197"/>
  <c r="H197" s="1"/>
  <c r="F233" i="97"/>
  <c r="C200"/>
  <c r="C233" s="1"/>
  <c r="C203" i="67"/>
  <c r="H203" s="1"/>
  <c r="D234" i="66"/>
  <c r="K29" i="75"/>
  <c r="D29"/>
  <c r="D30" s="1"/>
  <c r="O29"/>
  <c r="N29"/>
  <c r="L29"/>
  <c r="G29"/>
  <c r="AB11"/>
  <c r="AC11" s="1"/>
  <c r="J29"/>
  <c r="P28"/>
  <c r="I15" i="73"/>
  <c r="G46"/>
  <c r="D149" i="76"/>
  <c r="D50"/>
  <c r="D222"/>
  <c r="D194"/>
  <c r="D193" s="1"/>
  <c r="D192" s="1"/>
  <c r="D73"/>
  <c r="D72" s="1"/>
  <c r="D71" s="1"/>
  <c r="D231"/>
  <c r="D229" s="1"/>
  <c r="C9" i="90"/>
  <c r="E232" i="67" l="1"/>
  <c r="C95" i="97"/>
  <c r="H95" s="1"/>
  <c r="F194" i="67"/>
  <c r="F193" s="1"/>
  <c r="F192" s="1"/>
  <c r="E194"/>
  <c r="E193" s="1"/>
  <c r="E192" s="1"/>
  <c r="C198"/>
  <c r="H198" s="1"/>
  <c r="C202" i="97"/>
  <c r="H202" s="1"/>
  <c r="D194" i="67"/>
  <c r="D193" s="1"/>
  <c r="D192" s="1"/>
  <c r="C196"/>
  <c r="H196" s="1"/>
  <c r="D234" i="97"/>
  <c r="D232" s="1"/>
  <c r="H29" i="75"/>
  <c r="U7" i="85"/>
  <c r="F10" i="89"/>
  <c r="F46" i="73"/>
  <c r="F36" i="72"/>
  <c r="C201" i="67"/>
  <c r="H201" s="1"/>
  <c r="C151"/>
  <c r="H151" s="1"/>
  <c r="C151" i="97"/>
  <c r="H151" s="1"/>
  <c r="F66" i="78"/>
  <c r="H12" i="70"/>
  <c r="G66" i="78"/>
  <c r="B66"/>
  <c r="D135" i="77"/>
  <c r="H11" i="70"/>
  <c r="E146" i="66"/>
  <c r="B90" i="78"/>
  <c r="E66"/>
  <c r="E39"/>
  <c r="D90"/>
  <c r="D39"/>
  <c r="E90"/>
  <c r="G39"/>
  <c r="H19" i="88"/>
  <c r="B39" i="78"/>
  <c r="F90"/>
  <c r="G90"/>
  <c r="D66"/>
  <c r="F39"/>
  <c r="T36" i="72"/>
  <c r="E36"/>
  <c r="H25" i="69"/>
  <c r="D24" i="61"/>
  <c r="D10" i="68" s="1"/>
  <c r="F232" i="97"/>
  <c r="F9" i="90"/>
  <c r="E9"/>
  <c r="G13" i="72"/>
  <c r="H13" s="1"/>
  <c r="G10"/>
  <c r="H10" s="1"/>
  <c r="F151" i="61"/>
  <c r="K10" i="69" s="1"/>
  <c r="D146" i="66"/>
  <c r="D132" s="1"/>
  <c r="I29" i="75"/>
  <c r="E29"/>
  <c r="E30" s="1"/>
  <c r="P29"/>
  <c r="P30" s="1"/>
  <c r="F29"/>
  <c r="D109" i="76"/>
  <c r="D176" s="1"/>
  <c r="C148" i="97"/>
  <c r="H148" s="1"/>
  <c r="D206" i="61"/>
  <c r="F204"/>
  <c r="K30" i="69" s="1"/>
  <c r="E203" i="61"/>
  <c r="J29" i="69" s="1"/>
  <c r="D202" i="61"/>
  <c r="I28" i="69" s="1"/>
  <c r="F89" i="61"/>
  <c r="F21" i="69" s="1"/>
  <c r="E146" i="97"/>
  <c r="C26" i="69"/>
  <c r="F24" i="61"/>
  <c r="F10" i="68" s="1"/>
  <c r="D226" i="109"/>
  <c r="F226"/>
  <c r="F226" i="97"/>
  <c r="C147" i="66"/>
  <c r="H147" s="1"/>
  <c r="D221" i="76"/>
  <c r="D228"/>
  <c r="F146" i="97"/>
  <c r="C26" i="68"/>
  <c r="H25"/>
  <c r="E15" i="70"/>
  <c r="D10" i="76"/>
  <c r="D70" s="1"/>
  <c r="D115" i="61"/>
  <c r="I12" i="68" s="1"/>
  <c r="I36" i="72"/>
  <c r="D207" i="76"/>
  <c r="C141" i="66"/>
  <c r="H141" s="1"/>
  <c r="C49"/>
  <c r="H49" s="1"/>
  <c r="C147" i="97"/>
  <c r="H147" s="1"/>
  <c r="C23" i="66"/>
  <c r="H23" s="1"/>
  <c r="C172"/>
  <c r="H172" s="1"/>
  <c r="C14"/>
  <c r="H14" s="1"/>
  <c r="C126"/>
  <c r="H126" s="1"/>
  <c r="C17"/>
  <c r="H17" s="1"/>
  <c r="C137"/>
  <c r="H137" s="1"/>
  <c r="C153"/>
  <c r="H153" s="1"/>
  <c r="C34"/>
  <c r="H34" s="1"/>
  <c r="C147" i="67"/>
  <c r="H147" s="1"/>
  <c r="C166" i="66"/>
  <c r="H166" s="1"/>
  <c r="C42"/>
  <c r="H42" s="1"/>
  <c r="C133"/>
  <c r="H133" s="1"/>
  <c r="D198" i="61"/>
  <c r="I24" i="69" s="1"/>
  <c r="F196" i="61"/>
  <c r="E195"/>
  <c r="J21" i="69" s="1"/>
  <c r="F93" i="61"/>
  <c r="E123" i="66"/>
  <c r="F198" i="61"/>
  <c r="K24" i="69" s="1"/>
  <c r="E197" i="61"/>
  <c r="D196"/>
  <c r="I22" i="69" s="1"/>
  <c r="F206" i="61"/>
  <c r="K32" i="69" s="1"/>
  <c r="E205" i="61"/>
  <c r="D204"/>
  <c r="F202"/>
  <c r="K28" i="69" s="1"/>
  <c r="E201" i="61"/>
  <c r="J27" i="69" s="1"/>
  <c r="D200" i="61"/>
  <c r="F197"/>
  <c r="K23" i="69" s="1"/>
  <c r="E196" i="61"/>
  <c r="D195"/>
  <c r="F160"/>
  <c r="K12" i="69" s="1"/>
  <c r="E117" i="61"/>
  <c r="J14" i="68" s="1"/>
  <c r="D91" i="61"/>
  <c r="D23" i="69" s="1"/>
  <c r="F57" i="61"/>
  <c r="G25" i="74"/>
  <c r="F19" i="89"/>
  <c r="D20"/>
  <c r="E18"/>
  <c r="F14"/>
  <c r="D16"/>
  <c r="F13"/>
  <c r="E16"/>
  <c r="F9"/>
  <c r="E12"/>
  <c r="D12"/>
  <c r="A8" i="85"/>
  <c r="E233" i="64"/>
  <c r="E200" i="61"/>
  <c r="J26" i="69" s="1"/>
  <c r="E240" i="61"/>
  <c r="D160"/>
  <c r="I12" i="69" s="1"/>
  <c r="E139" i="61"/>
  <c r="J17" i="68" s="1"/>
  <c r="F115" i="61"/>
  <c r="K12" i="68" s="1"/>
  <c r="F111" i="61"/>
  <c r="K10" i="68" s="1"/>
  <c r="D57" i="61"/>
  <c r="F205"/>
  <c r="K31" i="69" s="1"/>
  <c r="E204" i="61"/>
  <c r="J30" i="69" s="1"/>
  <c r="D203" i="61"/>
  <c r="I29" i="69" s="1"/>
  <c r="F201" i="61"/>
  <c r="K27" i="69" s="1"/>
  <c r="E90" i="61"/>
  <c r="F96"/>
  <c r="F28" i="69" s="1"/>
  <c r="E97" i="61"/>
  <c r="E29" i="69" s="1"/>
  <c r="F233" i="64"/>
  <c r="F200" i="61"/>
  <c r="F240"/>
  <c r="F139"/>
  <c r="K17" i="68" s="1"/>
  <c r="E57" i="61"/>
  <c r="E198"/>
  <c r="J24" i="69" s="1"/>
  <c r="D197" i="61"/>
  <c r="I23" i="69" s="1"/>
  <c r="F195" i="61"/>
  <c r="K21" i="69" s="1"/>
  <c r="E96" i="61"/>
  <c r="F92"/>
  <c r="E93"/>
  <c r="E25" i="69" s="1"/>
  <c r="F95" i="61"/>
  <c r="D97"/>
  <c r="E206"/>
  <c r="J32" i="69" s="1"/>
  <c r="D205" i="61"/>
  <c r="I31" i="69" s="1"/>
  <c r="F203" i="61"/>
  <c r="K29" i="69" s="1"/>
  <c r="E202" i="61"/>
  <c r="J28" i="69" s="1"/>
  <c r="D201" i="61"/>
  <c r="D90"/>
  <c r="D22" i="69" s="1"/>
  <c r="E89" i="61"/>
  <c r="E92"/>
  <c r="E24" i="69" s="1"/>
  <c r="D93" i="61"/>
  <c r="D25" i="69" s="1"/>
  <c r="E95" i="61"/>
  <c r="D96"/>
  <c r="D28" i="69" s="1"/>
  <c r="E99" i="61"/>
  <c r="E31" i="69" s="1"/>
  <c r="D240" i="61"/>
  <c r="D139"/>
  <c r="I17" i="68" s="1"/>
  <c r="E115" i="61"/>
  <c r="J12" i="68" s="1"/>
  <c r="E111" i="61"/>
  <c r="J10" i="68" s="1"/>
  <c r="D89" i="61"/>
  <c r="D21" i="69" s="1"/>
  <c r="F90" i="61"/>
  <c r="F22" i="69" s="1"/>
  <c r="E91" i="61"/>
  <c r="D92"/>
  <c r="D24" i="69" s="1"/>
  <c r="F97" i="61"/>
  <c r="F29" i="69" s="1"/>
  <c r="E98" i="61"/>
  <c r="A10" i="84"/>
  <c r="H46" i="73"/>
  <c r="D36" i="72"/>
  <c r="C36"/>
  <c r="U26"/>
  <c r="M20" i="78"/>
  <c r="D215" i="76"/>
  <c r="D101"/>
  <c r="E46" i="73"/>
  <c r="D46"/>
  <c r="I46"/>
  <c r="U16" i="72"/>
  <c r="C27" i="90"/>
  <c r="C17"/>
  <c r="D26" i="70"/>
  <c r="H13"/>
  <c r="B53"/>
  <c r="C48" i="66"/>
  <c r="H48" s="1"/>
  <c r="D12"/>
  <c r="D11" s="1"/>
  <c r="D242"/>
  <c r="C84"/>
  <c r="H84" s="1"/>
  <c r="C31"/>
  <c r="H31" s="1"/>
  <c r="C173"/>
  <c r="H173" s="1"/>
  <c r="C69"/>
  <c r="H69" s="1"/>
  <c r="C43"/>
  <c r="H43" s="1"/>
  <c r="C16"/>
  <c r="H16" s="1"/>
  <c r="C81"/>
  <c r="H81" s="1"/>
  <c r="C45"/>
  <c r="H45" s="1"/>
  <c r="C61"/>
  <c r="H61" s="1"/>
  <c r="C28"/>
  <c r="H28" s="1"/>
  <c r="C158"/>
  <c r="H158" s="1"/>
  <c r="C233" i="67"/>
  <c r="C240" i="64"/>
  <c r="H240" s="1"/>
  <c r="F242" i="66"/>
  <c r="C170" i="67"/>
  <c r="H170" s="1"/>
  <c r="C124" i="66"/>
  <c r="H124" s="1"/>
  <c r="C80"/>
  <c r="H80" s="1"/>
  <c r="C77"/>
  <c r="H77" s="1"/>
  <c r="E223"/>
  <c r="H91" i="97"/>
  <c r="C13" i="66"/>
  <c r="H13" s="1"/>
  <c r="C130"/>
  <c r="H130" s="1"/>
  <c r="C90" i="65"/>
  <c r="H90" s="1"/>
  <c r="C91" i="64"/>
  <c r="H91" s="1"/>
  <c r="C136" i="66"/>
  <c r="H136" s="1"/>
  <c r="C170"/>
  <c r="H170" s="1"/>
  <c r="C125"/>
  <c r="H125" s="1"/>
  <c r="C230" i="67"/>
  <c r="C241" i="66"/>
  <c r="H241" s="1"/>
  <c r="D232"/>
  <c r="D232" i="65"/>
  <c r="C60" i="66"/>
  <c r="H60" s="1"/>
  <c r="C138"/>
  <c r="H138" s="1"/>
  <c r="C139" i="65"/>
  <c r="H139" s="1"/>
  <c r="C152" i="66"/>
  <c r="H152" s="1"/>
  <c r="D150"/>
  <c r="C89" i="64"/>
  <c r="H89" s="1"/>
  <c r="D123" i="66"/>
  <c r="C115" i="64"/>
  <c r="H115" s="1"/>
  <c r="C63" i="66"/>
  <c r="H63" s="1"/>
  <c r="D111" i="61"/>
  <c r="C65" i="66"/>
  <c r="H65" s="1"/>
  <c r="E58"/>
  <c r="C54"/>
  <c r="F223" i="109"/>
  <c r="D44" i="66"/>
  <c r="C89" i="65"/>
  <c r="H89" s="1"/>
  <c r="D231" i="64"/>
  <c r="E230" i="65"/>
  <c r="C240"/>
  <c r="H240" s="1"/>
  <c r="C96"/>
  <c r="H96" s="1"/>
  <c r="C90" i="64"/>
  <c r="H90" s="1"/>
  <c r="C95" i="65"/>
  <c r="H95" s="1"/>
  <c r="D230"/>
  <c r="F231" i="64"/>
  <c r="C96"/>
  <c r="H96" s="1"/>
  <c r="C38" i="66"/>
  <c r="H38" s="1"/>
  <c r="C151" i="65"/>
  <c r="H151" s="1"/>
  <c r="C239" i="66"/>
  <c r="C115" i="65"/>
  <c r="H115" s="1"/>
  <c r="E24" i="61"/>
  <c r="D159" i="66"/>
  <c r="D151" i="61"/>
  <c r="C143" i="66"/>
  <c r="H143" s="1"/>
  <c r="D58"/>
  <c r="H200" i="65"/>
  <c r="C24" i="64"/>
  <c r="H24" s="1"/>
  <c r="C111"/>
  <c r="H111" s="1"/>
  <c r="H200"/>
  <c r="C170"/>
  <c r="H170" s="1"/>
  <c r="C161" i="66"/>
  <c r="H161" s="1"/>
  <c r="C57" i="64"/>
  <c r="H57" s="1"/>
  <c r="F32" i="66"/>
  <c r="C18"/>
  <c r="H18" s="1"/>
  <c r="C53"/>
  <c r="H53" s="1"/>
  <c r="C36"/>
  <c r="H36" s="1"/>
  <c r="C21"/>
  <c r="H21" s="1"/>
  <c r="C20"/>
  <c r="H20" s="1"/>
  <c r="C33"/>
  <c r="H33" s="1"/>
  <c r="E51"/>
  <c r="F12"/>
  <c r="F11" s="1"/>
  <c r="C145"/>
  <c r="H145" s="1"/>
  <c r="C142"/>
  <c r="H142" s="1"/>
  <c r="C140"/>
  <c r="H140" s="1"/>
  <c r="C157"/>
  <c r="H157" s="1"/>
  <c r="E159"/>
  <c r="C155"/>
  <c r="H155" s="1"/>
  <c r="E226" i="109"/>
  <c r="C144" i="66"/>
  <c r="H144" s="1"/>
  <c r="C128"/>
  <c r="H128" s="1"/>
  <c r="C97" i="64"/>
  <c r="H97" s="1"/>
  <c r="B35" i="70"/>
  <c r="C174" i="66"/>
  <c r="H174" s="1"/>
  <c r="F100" i="61"/>
  <c r="F44" i="66"/>
  <c r="E160" i="61"/>
  <c r="C19" i="66"/>
  <c r="H19" s="1"/>
  <c r="D98" i="61"/>
  <c r="F99"/>
  <c r="C22" i="66"/>
  <c r="H22" s="1"/>
  <c r="D100" i="61"/>
  <c r="E64" i="66"/>
  <c r="C66"/>
  <c r="H66" s="1"/>
  <c r="C135"/>
  <c r="H135" s="1"/>
  <c r="C27"/>
  <c r="H27" s="1"/>
  <c r="C127"/>
  <c r="H127" s="1"/>
  <c r="C162"/>
  <c r="H162" s="1"/>
  <c r="C100" i="97"/>
  <c r="H100" s="1"/>
  <c r="E230"/>
  <c r="C24"/>
  <c r="H24" s="1"/>
  <c r="C167" i="66"/>
  <c r="H167" s="1"/>
  <c r="C160" i="64"/>
  <c r="H160" s="1"/>
  <c r="C90" i="67"/>
  <c r="H90" s="1"/>
  <c r="D230" i="109"/>
  <c r="E230" i="67"/>
  <c r="E170" i="61"/>
  <c r="C195" i="67"/>
  <c r="H195" s="1"/>
  <c r="F230"/>
  <c r="C205" i="97"/>
  <c r="H205" s="1"/>
  <c r="C99"/>
  <c r="H99" s="1"/>
  <c r="C24" i="109"/>
  <c r="H24" s="1"/>
  <c r="D232" i="67"/>
  <c r="D242" i="109"/>
  <c r="C202" i="66"/>
  <c r="H202" s="1"/>
  <c r="C198" i="109"/>
  <c r="H198" s="1"/>
  <c r="C202"/>
  <c r="H202" s="1"/>
  <c r="C206"/>
  <c r="H206" s="1"/>
  <c r="C240"/>
  <c r="H240" s="1"/>
  <c r="C134" i="66"/>
  <c r="H134" s="1"/>
  <c r="C233"/>
  <c r="H233" s="1"/>
  <c r="C15"/>
  <c r="H15" s="1"/>
  <c r="D146" i="97"/>
  <c r="C204" i="66"/>
  <c r="H204" s="1"/>
  <c r="C201"/>
  <c r="C100" i="109"/>
  <c r="H100" s="1"/>
  <c r="C47" i="66"/>
  <c r="H47" s="1"/>
  <c r="H200" i="97"/>
  <c r="C139" i="64"/>
  <c r="H139" s="1"/>
  <c r="F110" i="109"/>
  <c r="C170"/>
  <c r="H170" s="1"/>
  <c r="C129" i="66"/>
  <c r="H129" s="1"/>
  <c r="C57" i="65"/>
  <c r="H57" s="1"/>
  <c r="C141" i="109"/>
  <c r="H141" s="1"/>
  <c r="C137"/>
  <c r="H137" s="1"/>
  <c r="C128"/>
  <c r="H128" s="1"/>
  <c r="C174"/>
  <c r="H174" s="1"/>
  <c r="E159"/>
  <c r="C154"/>
  <c r="H154" s="1"/>
  <c r="C138"/>
  <c r="H138" s="1"/>
  <c r="C184"/>
  <c r="H184" s="1"/>
  <c r="C136"/>
  <c r="H136" s="1"/>
  <c r="C127"/>
  <c r="H127" s="1"/>
  <c r="C205" i="67"/>
  <c r="H205" s="1"/>
  <c r="D234" i="109"/>
  <c r="D232" s="1"/>
  <c r="C78" i="66"/>
  <c r="H78" s="1"/>
  <c r="C139"/>
  <c r="H139" s="1"/>
  <c r="C92"/>
  <c r="H92" s="1"/>
  <c r="F230" i="97"/>
  <c r="C96" i="109"/>
  <c r="H96" s="1"/>
  <c r="E12" i="66"/>
  <c r="E11" s="1"/>
  <c r="C175"/>
  <c r="H175" s="1"/>
  <c r="C196" i="109"/>
  <c r="H196" s="1"/>
  <c r="C56" i="66"/>
  <c r="H56" s="1"/>
  <c r="H233" i="65"/>
  <c r="C37" i="66"/>
  <c r="H37" s="1"/>
  <c r="C92" i="109"/>
  <c r="H92" s="1"/>
  <c r="C142"/>
  <c r="H142" s="1"/>
  <c r="C148"/>
  <c r="H148" s="1"/>
  <c r="C203" i="66"/>
  <c r="C126" i="109"/>
  <c r="H126" s="1"/>
  <c r="C205"/>
  <c r="H205" s="1"/>
  <c r="H197" i="67"/>
  <c r="F232" i="65"/>
  <c r="C85" i="66"/>
  <c r="H85" s="1"/>
  <c r="C35"/>
  <c r="H35" s="1"/>
  <c r="C198" i="65"/>
  <c r="H198" s="1"/>
  <c r="E234"/>
  <c r="E232" s="1"/>
  <c r="C99"/>
  <c r="H99" s="1"/>
  <c r="C148" i="66"/>
  <c r="C93" i="109"/>
  <c r="H93" s="1"/>
  <c r="C99"/>
  <c r="H99" s="1"/>
  <c r="C115"/>
  <c r="H115" s="1"/>
  <c r="C117"/>
  <c r="H117" s="1"/>
  <c r="C131"/>
  <c r="H131" s="1"/>
  <c r="C151"/>
  <c r="H151" s="1"/>
  <c r="C160"/>
  <c r="H160" s="1"/>
  <c r="C201"/>
  <c r="H201" s="1"/>
  <c r="C39" i="66"/>
  <c r="H39" s="1"/>
  <c r="C93"/>
  <c r="H93" s="1"/>
  <c r="C199" i="97"/>
  <c r="H199" s="1"/>
  <c r="C57" i="109"/>
  <c r="H57" s="1"/>
  <c r="C89"/>
  <c r="H89" s="1"/>
  <c r="C90"/>
  <c r="H90" s="1"/>
  <c r="F230"/>
  <c r="C95"/>
  <c r="H95" s="1"/>
  <c r="C111"/>
  <c r="H111" s="1"/>
  <c r="C139"/>
  <c r="H139" s="1"/>
  <c r="F234"/>
  <c r="F232" s="1"/>
  <c r="C197"/>
  <c r="H197" s="1"/>
  <c r="C203"/>
  <c r="H203" s="1"/>
  <c r="C204"/>
  <c r="H204" s="1"/>
  <c r="F242"/>
  <c r="C241"/>
  <c r="H241" s="1"/>
  <c r="C93" i="64"/>
  <c r="H93" s="1"/>
  <c r="C97" i="65"/>
  <c r="H97" s="1"/>
  <c r="C92"/>
  <c r="H92" s="1"/>
  <c r="C240" i="66"/>
  <c r="H240" s="1"/>
  <c r="C91"/>
  <c r="C99" i="67"/>
  <c r="H99" s="1"/>
  <c r="C57" i="97"/>
  <c r="H57" s="1"/>
  <c r="E230" i="109"/>
  <c r="C97"/>
  <c r="H97" s="1"/>
  <c r="C98"/>
  <c r="H98" s="1"/>
  <c r="C135"/>
  <c r="H135" s="1"/>
  <c r="E234"/>
  <c r="E232" s="1"/>
  <c r="C199"/>
  <c r="H199" s="1"/>
  <c r="E242"/>
  <c r="C91"/>
  <c r="C113"/>
  <c r="H113" s="1"/>
  <c r="C125"/>
  <c r="H125" s="1"/>
  <c r="F146"/>
  <c r="C161"/>
  <c r="C185"/>
  <c r="F194"/>
  <c r="F193" s="1"/>
  <c r="F192" s="1"/>
  <c r="E110"/>
  <c r="E194"/>
  <c r="E193" s="1"/>
  <c r="E192" s="1"/>
  <c r="C200"/>
  <c r="D194"/>
  <c r="D193" s="1"/>
  <c r="D192" s="1"/>
  <c r="C195"/>
  <c r="C239"/>
  <c r="I62" i="70" s="1"/>
  <c r="J62" s="1"/>
  <c r="H233" i="97"/>
  <c r="F234" i="66"/>
  <c r="F232" s="1"/>
  <c r="F233" i="67"/>
  <c r="F194" i="97"/>
  <c r="F193" s="1"/>
  <c r="F192" s="1"/>
  <c r="C197"/>
  <c r="E194"/>
  <c r="E193" s="1"/>
  <c r="E192" s="1"/>
  <c r="C97"/>
  <c r="H97" s="1"/>
  <c r="C29" i="66"/>
  <c r="C169"/>
  <c r="E232"/>
  <c r="E194"/>
  <c r="E193" s="1"/>
  <c r="E232" i="97"/>
  <c r="C92" i="64"/>
  <c r="E230"/>
  <c r="F146" i="66"/>
  <c r="C205" i="64"/>
  <c r="H205" s="1"/>
  <c r="C93" i="65"/>
  <c r="D53" i="70"/>
  <c r="C117" i="67"/>
  <c r="H117" s="1"/>
  <c r="C117" i="97"/>
  <c r="H117" s="1"/>
  <c r="F159" i="66"/>
  <c r="C206" i="65"/>
  <c r="H206" s="1"/>
  <c r="C97" i="67"/>
  <c r="H97" s="1"/>
  <c r="C230" i="97" l="1"/>
  <c r="H230" s="1"/>
  <c r="A9" i="85"/>
  <c r="C117" i="64"/>
  <c r="H117" s="1"/>
  <c r="C139" i="61"/>
  <c r="I13" i="72"/>
  <c r="J13" s="1"/>
  <c r="K13" s="1"/>
  <c r="L13" s="1"/>
  <c r="M13" s="1"/>
  <c r="N13" s="1"/>
  <c r="O13" s="1"/>
  <c r="P13" s="1"/>
  <c r="Q13" s="1"/>
  <c r="R13" s="1"/>
  <c r="S13" s="1"/>
  <c r="T13" s="1"/>
  <c r="I10"/>
  <c r="J10" s="1"/>
  <c r="K10" s="1"/>
  <c r="L10" s="1"/>
  <c r="M10" s="1"/>
  <c r="N10" s="1"/>
  <c r="O10" s="1"/>
  <c r="P10" s="1"/>
  <c r="Q10" s="1"/>
  <c r="R10" s="1"/>
  <c r="S10" s="1"/>
  <c r="T10" s="1"/>
  <c r="H28" i="69"/>
  <c r="H233" i="64"/>
  <c r="D220" i="76"/>
  <c r="D214"/>
  <c r="D244" s="1"/>
  <c r="D245"/>
  <c r="D208"/>
  <c r="C57" i="61"/>
  <c r="C240"/>
  <c r="C202"/>
  <c r="D231"/>
  <c r="C203"/>
  <c r="H24" i="69"/>
  <c r="H29"/>
  <c r="F230" i="64"/>
  <c r="F229" s="1"/>
  <c r="C111" i="65"/>
  <c r="H111" s="1"/>
  <c r="E233" i="61"/>
  <c r="D226" i="97"/>
  <c r="F30" i="75"/>
  <c r="G30" s="1"/>
  <c r="H30" s="1"/>
  <c r="I30" s="1"/>
  <c r="J30" s="1"/>
  <c r="K30" s="1"/>
  <c r="L30" s="1"/>
  <c r="M30" s="1"/>
  <c r="N30" s="1"/>
  <c r="O30" s="1"/>
  <c r="E226" i="66"/>
  <c r="D226"/>
  <c r="C191"/>
  <c r="H191" s="1"/>
  <c r="C184"/>
  <c r="H184" s="1"/>
  <c r="C187"/>
  <c r="H187" s="1"/>
  <c r="C183"/>
  <c r="H183" s="1"/>
  <c r="C186"/>
  <c r="H186" s="1"/>
  <c r="C182"/>
  <c r="H182" s="1"/>
  <c r="C190"/>
  <c r="H190" s="1"/>
  <c r="E110"/>
  <c r="F110"/>
  <c r="C113"/>
  <c r="H113" s="1"/>
  <c r="C242"/>
  <c r="C146" i="97"/>
  <c r="H146" s="1"/>
  <c r="C119" i="66"/>
  <c r="H119" s="1"/>
  <c r="C121"/>
  <c r="H121" s="1"/>
  <c r="C112" i="97"/>
  <c r="C82" i="66"/>
  <c r="H82" s="1"/>
  <c r="C114"/>
  <c r="H114" s="1"/>
  <c r="E242"/>
  <c r="F64"/>
  <c r="C144" i="109"/>
  <c r="H144" s="1"/>
  <c r="E64"/>
  <c r="D110" i="97"/>
  <c r="E110"/>
  <c r="C122" i="66"/>
  <c r="H122" s="1"/>
  <c r="D25"/>
  <c r="E116"/>
  <c r="F223"/>
  <c r="C166" i="97"/>
  <c r="H166" s="1"/>
  <c r="C164" i="66"/>
  <c r="H164" s="1"/>
  <c r="C163"/>
  <c r="E146" i="109"/>
  <c r="E132" s="1"/>
  <c r="H17" i="68"/>
  <c r="D170" i="61"/>
  <c r="I14" i="69" s="1"/>
  <c r="F170" i="61"/>
  <c r="K14" i="69" s="1"/>
  <c r="E20" i="89"/>
  <c r="F18"/>
  <c r="F20" s="1"/>
  <c r="F16"/>
  <c r="F12"/>
  <c r="A10" i="85"/>
  <c r="U8"/>
  <c r="D99" i="61"/>
  <c r="D31" i="69" s="1"/>
  <c r="C95" i="64"/>
  <c r="C230" s="1"/>
  <c r="D95" i="61"/>
  <c r="D88" s="1"/>
  <c r="D117"/>
  <c r="J12" i="69"/>
  <c r="H12" s="1"/>
  <c r="F32"/>
  <c r="C100" i="64"/>
  <c r="H100" s="1"/>
  <c r="E100" i="61"/>
  <c r="E32" i="69" s="1"/>
  <c r="E151" i="61"/>
  <c r="J10" i="69" s="1"/>
  <c r="F98" i="61"/>
  <c r="F30" i="69" s="1"/>
  <c r="F117" i="61"/>
  <c r="K14" i="68" s="1"/>
  <c r="F88" i="64"/>
  <c r="F87" s="1"/>
  <c r="F86" s="1"/>
  <c r="F91" i="61"/>
  <c r="F23" i="69" s="1"/>
  <c r="J14"/>
  <c r="C59" i="66"/>
  <c r="H59" s="1"/>
  <c r="A11" i="84"/>
  <c r="U36" i="72"/>
  <c r="C37" i="90"/>
  <c r="D102" i="76"/>
  <c r="H12" i="68"/>
  <c r="C83" i="97"/>
  <c r="H83" s="1"/>
  <c r="C114" i="109"/>
  <c r="H114" s="1"/>
  <c r="C18"/>
  <c r="H18" s="1"/>
  <c r="C52"/>
  <c r="H52" s="1"/>
  <c r="C27"/>
  <c r="H27" s="1"/>
  <c r="C80"/>
  <c r="H80" s="1"/>
  <c r="C66"/>
  <c r="H66" s="1"/>
  <c r="C67"/>
  <c r="H67" s="1"/>
  <c r="C81"/>
  <c r="H81" s="1"/>
  <c r="C38"/>
  <c r="H38" s="1"/>
  <c r="C55"/>
  <c r="H55" s="1"/>
  <c r="C39"/>
  <c r="H39" s="1"/>
  <c r="C63"/>
  <c r="H63" s="1"/>
  <c r="C78"/>
  <c r="H78" s="1"/>
  <c r="C34"/>
  <c r="H34" s="1"/>
  <c r="C42"/>
  <c r="H42" s="1"/>
  <c r="C46"/>
  <c r="H46" s="1"/>
  <c r="C65"/>
  <c r="H65" s="1"/>
  <c r="C15"/>
  <c r="H15" s="1"/>
  <c r="C16"/>
  <c r="H16" s="1"/>
  <c r="C22"/>
  <c r="H22" s="1"/>
  <c r="C28"/>
  <c r="H28" s="1"/>
  <c r="C31"/>
  <c r="H31" s="1"/>
  <c r="C59"/>
  <c r="H59" s="1"/>
  <c r="C77"/>
  <c r="H77" s="1"/>
  <c r="C23"/>
  <c r="H23" s="1"/>
  <c r="C84"/>
  <c r="H84" s="1"/>
  <c r="C19"/>
  <c r="H19" s="1"/>
  <c r="C33"/>
  <c r="H33" s="1"/>
  <c r="C45"/>
  <c r="C48"/>
  <c r="H48" s="1"/>
  <c r="C68"/>
  <c r="H68" s="1"/>
  <c r="C35"/>
  <c r="H35" s="1"/>
  <c r="C37"/>
  <c r="H37" s="1"/>
  <c r="C62"/>
  <c r="H62" s="1"/>
  <c r="C47"/>
  <c r="H47" s="1"/>
  <c r="C188"/>
  <c r="H188" s="1"/>
  <c r="C129"/>
  <c r="H129" s="1"/>
  <c r="C56" i="97"/>
  <c r="H56" s="1"/>
  <c r="E51" i="109"/>
  <c r="F25"/>
  <c r="E51" i="97"/>
  <c r="D227" i="109"/>
  <c r="D225" s="1"/>
  <c r="C83" i="66"/>
  <c r="H83" s="1"/>
  <c r="C75"/>
  <c r="H75" s="1"/>
  <c r="C117" i="65"/>
  <c r="H117" s="1"/>
  <c r="F123" i="66"/>
  <c r="C131"/>
  <c r="H131" s="1"/>
  <c r="E50"/>
  <c r="D88" i="64"/>
  <c r="D87" s="1"/>
  <c r="D86" s="1"/>
  <c r="C190" i="109"/>
  <c r="H190" s="1"/>
  <c r="C154" i="97"/>
  <c r="H154" s="1"/>
  <c r="C52" i="66"/>
  <c r="H52" s="1"/>
  <c r="C119" i="109"/>
  <c r="H119" s="1"/>
  <c r="E123"/>
  <c r="E22" i="69"/>
  <c r="C22" s="1"/>
  <c r="C90" i="61"/>
  <c r="C151" i="64"/>
  <c r="H151" s="1"/>
  <c r="C24" i="65"/>
  <c r="H24" s="1"/>
  <c r="C171" i="109"/>
  <c r="H171" s="1"/>
  <c r="F25" i="97"/>
  <c r="I35" i="70"/>
  <c r="J35" s="1"/>
  <c r="H239" i="66"/>
  <c r="C99" i="64"/>
  <c r="H99" s="1"/>
  <c r="C170" i="65"/>
  <c r="H170" s="1"/>
  <c r="C142" i="97"/>
  <c r="H142" s="1"/>
  <c r="C67" i="66"/>
  <c r="H67" s="1"/>
  <c r="C133" i="109"/>
  <c r="H133" s="1"/>
  <c r="E25" i="97"/>
  <c r="E25" i="109"/>
  <c r="C13"/>
  <c r="H13" s="1"/>
  <c r="C12" i="66"/>
  <c r="C11" s="1"/>
  <c r="H11" s="1"/>
  <c r="C17" i="109"/>
  <c r="H17" s="1"/>
  <c r="F223" i="97"/>
  <c r="F51" i="66"/>
  <c r="C143" i="109"/>
  <c r="H143" s="1"/>
  <c r="E116"/>
  <c r="C122"/>
  <c r="H122" s="1"/>
  <c r="C167"/>
  <c r="H167" s="1"/>
  <c r="F226" i="66"/>
  <c r="C89" i="61"/>
  <c r="E21" i="69"/>
  <c r="C21" s="1"/>
  <c r="F230" i="65"/>
  <c r="C91"/>
  <c r="C136" i="97"/>
  <c r="H136" s="1"/>
  <c r="D35" i="70"/>
  <c r="H230" i="67"/>
  <c r="D230" i="64"/>
  <c r="D229" s="1"/>
  <c r="C124" i="97"/>
  <c r="H124" s="1"/>
  <c r="C158" i="109"/>
  <c r="H158" s="1"/>
  <c r="C120" i="97"/>
  <c r="H120" s="1"/>
  <c r="C41" i="66"/>
  <c r="H41" s="1"/>
  <c r="D32" i="69"/>
  <c r="C100" i="65"/>
  <c r="H100" s="1"/>
  <c r="E88" i="64"/>
  <c r="E87" s="1"/>
  <c r="E86" s="1"/>
  <c r="E231"/>
  <c r="E229" s="1"/>
  <c r="C94"/>
  <c r="H94" s="1"/>
  <c r="C160" i="65"/>
  <c r="H160" s="1"/>
  <c r="C152" i="109"/>
  <c r="H152" s="1"/>
  <c r="F165"/>
  <c r="C60"/>
  <c r="H60" s="1"/>
  <c r="D30" i="69"/>
  <c r="C98" i="64"/>
  <c r="H98" s="1"/>
  <c r="F27" i="69"/>
  <c r="C155" i="97"/>
  <c r="H155" s="1"/>
  <c r="C145"/>
  <c r="H145" s="1"/>
  <c r="F12" i="109"/>
  <c r="F11" s="1"/>
  <c r="C194" i="67"/>
  <c r="H194" s="1"/>
  <c r="C155" i="109"/>
  <c r="H155" s="1"/>
  <c r="C166"/>
  <c r="H166" s="1"/>
  <c r="C198" i="61"/>
  <c r="C145" i="109"/>
  <c r="H145" s="1"/>
  <c r="C43" i="97"/>
  <c r="H43" s="1"/>
  <c r="C169" i="109"/>
  <c r="H169" s="1"/>
  <c r="E150" i="66"/>
  <c r="C156"/>
  <c r="D165"/>
  <c r="D149" s="1"/>
  <c r="C171"/>
  <c r="H171" s="1"/>
  <c r="C157" i="97"/>
  <c r="H157" s="1"/>
  <c r="C157" i="109"/>
  <c r="H157" s="1"/>
  <c r="F242" i="97"/>
  <c r="C26" i="66"/>
  <c r="H26" s="1"/>
  <c r="E165"/>
  <c r="C191" i="109"/>
  <c r="H191" s="1"/>
  <c r="C181"/>
  <c r="H181" s="1"/>
  <c r="C76" i="97"/>
  <c r="H76" s="1"/>
  <c r="C138"/>
  <c r="H138" s="1"/>
  <c r="D132"/>
  <c r="C184"/>
  <c r="H184" s="1"/>
  <c r="C37"/>
  <c r="H37" s="1"/>
  <c r="F64" i="109"/>
  <c r="E226" i="97"/>
  <c r="C23"/>
  <c r="H23" s="1"/>
  <c r="E58" i="109"/>
  <c r="C22" i="97"/>
  <c r="H22" s="1"/>
  <c r="C234" i="67"/>
  <c r="F150" i="109"/>
  <c r="C140"/>
  <c r="H140" s="1"/>
  <c r="F44"/>
  <c r="C77" i="97"/>
  <c r="H77" s="1"/>
  <c r="E44" i="66"/>
  <c r="C46"/>
  <c r="E30" i="69"/>
  <c r="C133" i="97"/>
  <c r="H133" s="1"/>
  <c r="C130"/>
  <c r="H130" s="1"/>
  <c r="D150" i="109"/>
  <c r="C172"/>
  <c r="H172" s="1"/>
  <c r="C33" i="97"/>
  <c r="H33" s="1"/>
  <c r="C167"/>
  <c r="H167" s="1"/>
  <c r="C80"/>
  <c r="H80" s="1"/>
  <c r="C60"/>
  <c r="H60" s="1"/>
  <c r="E223"/>
  <c r="D194" i="61"/>
  <c r="D193" s="1"/>
  <c r="D192" s="1"/>
  <c r="C38" i="97"/>
  <c r="H38" s="1"/>
  <c r="C186" i="109"/>
  <c r="H186" s="1"/>
  <c r="F51"/>
  <c r="E132" i="66"/>
  <c r="C170" i="97"/>
  <c r="H170" s="1"/>
  <c r="C135"/>
  <c r="H135" s="1"/>
  <c r="F159" i="109"/>
  <c r="C68" i="97"/>
  <c r="H68" s="1"/>
  <c r="E150" i="109"/>
  <c r="C69" i="97"/>
  <c r="H69" s="1"/>
  <c r="C153" i="109"/>
  <c r="H153" s="1"/>
  <c r="C173"/>
  <c r="H173" s="1"/>
  <c r="E44"/>
  <c r="C35" i="97"/>
  <c r="H35" s="1"/>
  <c r="C128"/>
  <c r="H128" s="1"/>
  <c r="C160" i="61"/>
  <c r="C156" i="109"/>
  <c r="H156" s="1"/>
  <c r="C164"/>
  <c r="H164" s="1"/>
  <c r="C175"/>
  <c r="H175" s="1"/>
  <c r="C172" i="97"/>
  <c r="H172" s="1"/>
  <c r="C241"/>
  <c r="H241" s="1"/>
  <c r="F132" i="109"/>
  <c r="C15" i="97"/>
  <c r="H15" s="1"/>
  <c r="C175"/>
  <c r="H175" s="1"/>
  <c r="C162" i="109"/>
  <c r="H162" s="1"/>
  <c r="D123"/>
  <c r="E165"/>
  <c r="C134" i="97"/>
  <c r="H134" s="1"/>
  <c r="C234" i="66"/>
  <c r="C232" s="1"/>
  <c r="H232" s="1"/>
  <c r="H201"/>
  <c r="C63" i="97"/>
  <c r="H63" s="1"/>
  <c r="D159" i="109"/>
  <c r="C124"/>
  <c r="H124" s="1"/>
  <c r="C61" i="97"/>
  <c r="H61" s="1"/>
  <c r="C137"/>
  <c r="H137" s="1"/>
  <c r="C168" i="109"/>
  <c r="H168" s="1"/>
  <c r="C49" i="97"/>
  <c r="H49" s="1"/>
  <c r="C130" i="109"/>
  <c r="H130" s="1"/>
  <c r="F123"/>
  <c r="D165"/>
  <c r="C182"/>
  <c r="H182" s="1"/>
  <c r="C20" i="97"/>
  <c r="H20" s="1"/>
  <c r="C114"/>
  <c r="H114" s="1"/>
  <c r="F123"/>
  <c r="C125"/>
  <c r="H125" s="1"/>
  <c r="C141"/>
  <c r="H141" s="1"/>
  <c r="C81"/>
  <c r="H81" s="1"/>
  <c r="C85"/>
  <c r="H85" s="1"/>
  <c r="C143"/>
  <c r="H143" s="1"/>
  <c r="C174"/>
  <c r="H174" s="1"/>
  <c r="C55"/>
  <c r="H55" s="1"/>
  <c r="C29"/>
  <c r="H29" s="1"/>
  <c r="C42"/>
  <c r="H42" s="1"/>
  <c r="C59"/>
  <c r="H59" s="1"/>
  <c r="C48"/>
  <c r="H48" s="1"/>
  <c r="C68" i="66"/>
  <c r="D64"/>
  <c r="I10" i="68"/>
  <c r="H10" s="1"/>
  <c r="C111" i="61"/>
  <c r="C187" i="109"/>
  <c r="H187" s="1"/>
  <c r="C47" i="97"/>
  <c r="H47" s="1"/>
  <c r="F58"/>
  <c r="D123"/>
  <c r="C183"/>
  <c r="H183" s="1"/>
  <c r="C158"/>
  <c r="H158" s="1"/>
  <c r="C187"/>
  <c r="H187" s="1"/>
  <c r="F12"/>
  <c r="F11" s="1"/>
  <c r="C34"/>
  <c r="C78"/>
  <c r="H78" s="1"/>
  <c r="C171"/>
  <c r="H171" s="1"/>
  <c r="C18"/>
  <c r="H18" s="1"/>
  <c r="D51"/>
  <c r="C39"/>
  <c r="H39" s="1"/>
  <c r="E64"/>
  <c r="C126"/>
  <c r="H126" s="1"/>
  <c r="C13"/>
  <c r="H13" s="1"/>
  <c r="E12"/>
  <c r="E11" s="1"/>
  <c r="C45"/>
  <c r="E44"/>
  <c r="C153"/>
  <c r="H153" s="1"/>
  <c r="C67"/>
  <c r="H67" s="1"/>
  <c r="F159"/>
  <c r="E28" i="69"/>
  <c r="C28" s="1"/>
  <c r="C96" i="61"/>
  <c r="C21" i="97"/>
  <c r="H21" s="1"/>
  <c r="E123"/>
  <c r="C169"/>
  <c r="H169" s="1"/>
  <c r="D242"/>
  <c r="C239"/>
  <c r="E116"/>
  <c r="C65"/>
  <c r="H65" s="1"/>
  <c r="D64"/>
  <c r="C84"/>
  <c r="H84" s="1"/>
  <c r="C131"/>
  <c r="H131" s="1"/>
  <c r="C28"/>
  <c r="H28" s="1"/>
  <c r="F64"/>
  <c r="C183" i="109"/>
  <c r="H183" s="1"/>
  <c r="C134"/>
  <c r="H134" s="1"/>
  <c r="C140" i="97"/>
  <c r="H140" s="1"/>
  <c r="C191"/>
  <c r="H191" s="1"/>
  <c r="C163" i="109"/>
  <c r="H163" s="1"/>
  <c r="E132" i="97"/>
  <c r="E165"/>
  <c r="D58"/>
  <c r="C129"/>
  <c r="H129" s="1"/>
  <c r="C36"/>
  <c r="H36" s="1"/>
  <c r="C127"/>
  <c r="H127" s="1"/>
  <c r="E150"/>
  <c r="C162"/>
  <c r="H162" s="1"/>
  <c r="C144"/>
  <c r="H144" s="1"/>
  <c r="C168"/>
  <c r="H168" s="1"/>
  <c r="C182"/>
  <c r="H182" s="1"/>
  <c r="C119"/>
  <c r="H119" s="1"/>
  <c r="C186"/>
  <c r="H186" s="1"/>
  <c r="C14"/>
  <c r="H14" s="1"/>
  <c r="D12"/>
  <c r="D11" s="1"/>
  <c r="F165"/>
  <c r="C17"/>
  <c r="H17" s="1"/>
  <c r="E159"/>
  <c r="C161"/>
  <c r="H161" s="1"/>
  <c r="C190"/>
  <c r="H190" s="1"/>
  <c r="C27"/>
  <c r="H27" s="1"/>
  <c r="D44"/>
  <c r="C46"/>
  <c r="H46" s="1"/>
  <c r="F44"/>
  <c r="C19"/>
  <c r="H19" s="1"/>
  <c r="C173"/>
  <c r="H173" s="1"/>
  <c r="F132"/>
  <c r="C164"/>
  <c r="H164" s="1"/>
  <c r="C66"/>
  <c r="H66" s="1"/>
  <c r="C52"/>
  <c r="E242"/>
  <c r="C16"/>
  <c r="H16" s="1"/>
  <c r="F58" i="109"/>
  <c r="C115" i="61"/>
  <c r="E231"/>
  <c r="C31" i="97"/>
  <c r="H31" s="1"/>
  <c r="C194" i="66"/>
  <c r="C193" s="1"/>
  <c r="C192" s="1"/>
  <c r="H203"/>
  <c r="C204" i="61"/>
  <c r="I30" i="69"/>
  <c r="H30" s="1"/>
  <c r="F31"/>
  <c r="I27"/>
  <c r="H27" s="1"/>
  <c r="C201" i="61"/>
  <c r="C194" i="65"/>
  <c r="H194" s="1"/>
  <c r="I32" i="69"/>
  <c r="H32" s="1"/>
  <c r="C206" i="61"/>
  <c r="H54" i="66"/>
  <c r="H91"/>
  <c r="C230"/>
  <c r="H230" s="1"/>
  <c r="I21" i="69"/>
  <c r="D234" i="61"/>
  <c r="C195"/>
  <c r="E27" i="69"/>
  <c r="H148" i="66"/>
  <c r="C146"/>
  <c r="C132" s="1"/>
  <c r="I26" i="69"/>
  <c r="D233" i="61"/>
  <c r="C234" i="65"/>
  <c r="H195" i="109"/>
  <c r="C234"/>
  <c r="H234" s="1"/>
  <c r="C194"/>
  <c r="H200"/>
  <c r="C233"/>
  <c r="H239"/>
  <c r="C242"/>
  <c r="H242" s="1"/>
  <c r="H185"/>
  <c r="C226"/>
  <c r="H226" s="1"/>
  <c r="H91"/>
  <c r="C230"/>
  <c r="H161"/>
  <c r="H93" i="65"/>
  <c r="F132" i="66"/>
  <c r="E230" i="61"/>
  <c r="E23" i="69"/>
  <c r="E88" i="61"/>
  <c r="H169" i="66"/>
  <c r="C97" i="61"/>
  <c r="D29" i="69"/>
  <c r="C29" s="1"/>
  <c r="F24"/>
  <c r="C92" i="61"/>
  <c r="K22" i="69"/>
  <c r="F234" i="61"/>
  <c r="F194"/>
  <c r="F193" s="1"/>
  <c r="F192" s="1"/>
  <c r="F231"/>
  <c r="J23" i="69"/>
  <c r="H23" s="1"/>
  <c r="C197" i="61"/>
  <c r="J31" i="69"/>
  <c r="H31" s="1"/>
  <c r="C205" i="61"/>
  <c r="H92" i="64"/>
  <c r="H29" i="66"/>
  <c r="E194" i="61"/>
  <c r="E193" s="1"/>
  <c r="E192" s="1"/>
  <c r="J22" i="69"/>
  <c r="E234" i="61"/>
  <c r="C196"/>
  <c r="K26" i="69"/>
  <c r="C200" i="61"/>
  <c r="F233"/>
  <c r="H49" i="70"/>
  <c r="F53"/>
  <c r="H53" s="1"/>
  <c r="H197" i="97"/>
  <c r="C234"/>
  <c r="C194"/>
  <c r="F25" i="69"/>
  <c r="C25" s="1"/>
  <c r="C93" i="61"/>
  <c r="E192" i="66"/>
  <c r="F232" i="67"/>
  <c r="H233"/>
  <c r="R312" i="116" l="1"/>
  <c r="S312" s="1"/>
  <c r="R319"/>
  <c r="S319" s="1"/>
  <c r="H203" i="61"/>
  <c r="E240" i="76"/>
  <c r="R323" i="116"/>
  <c r="S323" s="1"/>
  <c r="U323" s="1"/>
  <c r="H202" i="61"/>
  <c r="R325" i="116"/>
  <c r="S325" s="1"/>
  <c r="R320"/>
  <c r="S320" s="1"/>
  <c r="N310" i="84"/>
  <c r="H310"/>
  <c r="A11" i="85"/>
  <c r="U9"/>
  <c r="E57" i="76"/>
  <c r="H57" i="61"/>
  <c r="E203" i="76"/>
  <c r="E139"/>
  <c r="H139" i="61"/>
  <c r="H240"/>
  <c r="H103" i="76"/>
  <c r="C99" i="61"/>
  <c r="E232"/>
  <c r="D213" i="76"/>
  <c r="H95" i="64"/>
  <c r="E202" i="76"/>
  <c r="C185" i="97"/>
  <c r="H185" s="1"/>
  <c r="G8" i="72"/>
  <c r="H198" i="61"/>
  <c r="C185" i="66"/>
  <c r="H185" s="1"/>
  <c r="C188"/>
  <c r="H188" s="1"/>
  <c r="C189"/>
  <c r="H189" s="1"/>
  <c r="C188" i="97"/>
  <c r="H188" s="1"/>
  <c r="D227"/>
  <c r="D225" s="1"/>
  <c r="D179"/>
  <c r="D178" s="1"/>
  <c r="D177" s="1"/>
  <c r="D207" s="1"/>
  <c r="C181"/>
  <c r="H181" s="1"/>
  <c r="H242" i="66"/>
  <c r="F110" i="97"/>
  <c r="C163"/>
  <c r="H163" s="1"/>
  <c r="D159"/>
  <c r="D150"/>
  <c r="C159" i="66"/>
  <c r="H159" s="1"/>
  <c r="H163"/>
  <c r="F150" i="97"/>
  <c r="F149" s="1"/>
  <c r="E109" i="66"/>
  <c r="C152" i="97"/>
  <c r="H152" s="1"/>
  <c r="C156"/>
  <c r="H156" s="1"/>
  <c r="C113"/>
  <c r="H113" s="1"/>
  <c r="D116" i="66"/>
  <c r="D147" i="61"/>
  <c r="C29" i="109"/>
  <c r="H29" s="1"/>
  <c r="C21"/>
  <c r="H21" s="1"/>
  <c r="D51"/>
  <c r="C53"/>
  <c r="H53" s="1"/>
  <c r="D58"/>
  <c r="C69"/>
  <c r="H69" s="1"/>
  <c r="C43"/>
  <c r="H43" s="1"/>
  <c r="D64"/>
  <c r="C61"/>
  <c r="H61" s="1"/>
  <c r="D12"/>
  <c r="D11" s="1"/>
  <c r="D165" i="97"/>
  <c r="D44" i="109"/>
  <c r="C147" i="64"/>
  <c r="E58" i="97"/>
  <c r="E50" s="1"/>
  <c r="C62"/>
  <c r="H62" s="1"/>
  <c r="C53"/>
  <c r="H53" s="1"/>
  <c r="F51"/>
  <c r="F50" s="1"/>
  <c r="C123" i="66"/>
  <c r="H123" s="1"/>
  <c r="F147" i="61"/>
  <c r="C31" i="69"/>
  <c r="C20" i="109"/>
  <c r="H20" s="1"/>
  <c r="C49"/>
  <c r="H49" s="1"/>
  <c r="C36"/>
  <c r="H36" s="1"/>
  <c r="E147" i="61"/>
  <c r="C147" i="109"/>
  <c r="D146"/>
  <c r="D132" s="1"/>
  <c r="C56"/>
  <c r="H56" s="1"/>
  <c r="C85"/>
  <c r="H85" s="1"/>
  <c r="C120"/>
  <c r="H120" s="1"/>
  <c r="U10" i="85"/>
  <c r="A12"/>
  <c r="F165" i="66"/>
  <c r="C54" i="97"/>
  <c r="H54" s="1"/>
  <c r="A12" i="84"/>
  <c r="E87" i="61"/>
  <c r="E86" s="1"/>
  <c r="C54" i="109"/>
  <c r="H54" s="1"/>
  <c r="C75" i="97"/>
  <c r="H75" s="1"/>
  <c r="C83" i="109"/>
  <c r="H83" s="1"/>
  <c r="C82"/>
  <c r="H82" s="1"/>
  <c r="C91" i="61"/>
  <c r="C189" i="109"/>
  <c r="H189" s="1"/>
  <c r="D179"/>
  <c r="D178" s="1"/>
  <c r="D177" s="1"/>
  <c r="D207" s="1"/>
  <c r="E198" i="76"/>
  <c r="C122" i="97"/>
  <c r="H122" s="1"/>
  <c r="C193" i="67"/>
  <c r="C192" s="1"/>
  <c r="H192" s="1"/>
  <c r="C30" i="97"/>
  <c r="H30" s="1"/>
  <c r="I14" i="68"/>
  <c r="H14" s="1"/>
  <c r="C117" i="61"/>
  <c r="H14" i="69"/>
  <c r="E109" i="109"/>
  <c r="H12" i="66"/>
  <c r="C30" i="69"/>
  <c r="D223" i="66"/>
  <c r="C76"/>
  <c r="C32" i="69"/>
  <c r="C170" i="61"/>
  <c r="C88" i="64"/>
  <c r="H88" s="1"/>
  <c r="F88" i="61"/>
  <c r="F87" s="1"/>
  <c r="F86" s="1"/>
  <c r="F25" i="66"/>
  <c r="F10" s="1"/>
  <c r="E25"/>
  <c r="H90" i="61"/>
  <c r="E90" i="76"/>
  <c r="C147" i="65"/>
  <c r="E10" i="68"/>
  <c r="C10" s="1"/>
  <c r="C24" i="61"/>
  <c r="I10" i="69"/>
  <c r="H10" s="1"/>
  <c r="C151" i="61"/>
  <c r="C231" i="64"/>
  <c r="C229" s="1"/>
  <c r="F230" i="61"/>
  <c r="F229" s="1"/>
  <c r="C100"/>
  <c r="H230" i="64"/>
  <c r="C189" i="97"/>
  <c r="H189" s="1"/>
  <c r="C95" i="61"/>
  <c r="D87"/>
  <c r="D86" s="1"/>
  <c r="F149" i="109"/>
  <c r="F58" i="66"/>
  <c r="F50" s="1"/>
  <c r="C62"/>
  <c r="D51"/>
  <c r="D50" s="1"/>
  <c r="C55"/>
  <c r="E227"/>
  <c r="E225" s="1"/>
  <c r="E179"/>
  <c r="E178" s="1"/>
  <c r="E177" s="1"/>
  <c r="E207" s="1"/>
  <c r="C180"/>
  <c r="H180" s="1"/>
  <c r="C168"/>
  <c r="F150"/>
  <c r="C154"/>
  <c r="H154" s="1"/>
  <c r="E149"/>
  <c r="E215" s="1"/>
  <c r="C150" i="109"/>
  <c r="H150" s="1"/>
  <c r="C98" i="61"/>
  <c r="E50" i="109"/>
  <c r="H89" i="61"/>
  <c r="E89" i="76"/>
  <c r="F35" i="70"/>
  <c r="H35" s="1"/>
  <c r="H28"/>
  <c r="D27" i="69"/>
  <c r="D20" s="1"/>
  <c r="D19" s="1"/>
  <c r="D18" s="1"/>
  <c r="D230" i="61"/>
  <c r="D229" s="1"/>
  <c r="H91" i="65"/>
  <c r="C230"/>
  <c r="H230" s="1"/>
  <c r="C165" i="109"/>
  <c r="H165" s="1"/>
  <c r="I64" i="78"/>
  <c r="J64" s="1"/>
  <c r="H234" i="66"/>
  <c r="E160" i="76"/>
  <c r="F50" i="109"/>
  <c r="C82" i="97"/>
  <c r="H82" s="1"/>
  <c r="H156" i="66"/>
  <c r="D223" i="97"/>
  <c r="F227" i="66"/>
  <c r="F225" s="1"/>
  <c r="F179"/>
  <c r="F178" s="1"/>
  <c r="F177" s="1"/>
  <c r="F207" s="1"/>
  <c r="E149" i="109"/>
  <c r="E32" i="66"/>
  <c r="C118"/>
  <c r="F116"/>
  <c r="F109" s="1"/>
  <c r="E223" i="109"/>
  <c r="E229" i="61"/>
  <c r="D149" i="109"/>
  <c r="C232" i="67"/>
  <c r="H232" s="1"/>
  <c r="H234"/>
  <c r="C223" i="97"/>
  <c r="C123" i="109"/>
  <c r="H123" s="1"/>
  <c r="H160" i="61"/>
  <c r="H46" i="66"/>
  <c r="C44"/>
  <c r="H44" s="1"/>
  <c r="H193"/>
  <c r="C159" i="109"/>
  <c r="H159" s="1"/>
  <c r="H194" i="66"/>
  <c r="H26" i="69"/>
  <c r="C132" i="97"/>
  <c r="H132" s="1"/>
  <c r="H112"/>
  <c r="F32"/>
  <c r="F10" s="1"/>
  <c r="H45" i="109"/>
  <c r="H45" i="97"/>
  <c r="C44"/>
  <c r="H44" s="1"/>
  <c r="C64"/>
  <c r="H64" s="1"/>
  <c r="C123"/>
  <c r="H123" s="1"/>
  <c r="E149"/>
  <c r="E109"/>
  <c r="C40"/>
  <c r="H40" s="1"/>
  <c r="E115" i="76"/>
  <c r="H115" i="61"/>
  <c r="H239" i="97"/>
  <c r="I53" i="70"/>
  <c r="J53" s="1"/>
  <c r="C242" i="97"/>
  <c r="H242" s="1"/>
  <c r="H96" i="61"/>
  <c r="E96" i="76"/>
  <c r="H34" i="97"/>
  <c r="H68" i="66"/>
  <c r="C64"/>
  <c r="C165" i="97"/>
  <c r="H52"/>
  <c r="F32" i="109"/>
  <c r="F10" s="1"/>
  <c r="H111" i="61"/>
  <c r="E111" i="76"/>
  <c r="C193" i="65"/>
  <c r="C192" s="1"/>
  <c r="H192" s="1"/>
  <c r="C12" i="97"/>
  <c r="C11" s="1"/>
  <c r="D50"/>
  <c r="H21" i="69"/>
  <c r="I20"/>
  <c r="I19" s="1"/>
  <c r="I18" s="1"/>
  <c r="H206" i="61"/>
  <c r="E206" i="76"/>
  <c r="H201" i="61"/>
  <c r="E201" i="76"/>
  <c r="E204"/>
  <c r="H204" i="61"/>
  <c r="H146" i="66"/>
  <c r="F232" i="61"/>
  <c r="D232"/>
  <c r="C232" i="65"/>
  <c r="H232" s="1"/>
  <c r="H234"/>
  <c r="E195" i="76"/>
  <c r="H195" i="61"/>
  <c r="H230" i="109"/>
  <c r="C193"/>
  <c r="H194"/>
  <c r="C232"/>
  <c r="H232" s="1"/>
  <c r="H233"/>
  <c r="H234" i="97"/>
  <c r="C232"/>
  <c r="H232" s="1"/>
  <c r="H197" i="61"/>
  <c r="E197" i="76"/>
  <c r="H192" i="66"/>
  <c r="H194" i="97"/>
  <c r="C193"/>
  <c r="C233" i="61"/>
  <c r="H200"/>
  <c r="E200" i="76"/>
  <c r="E233" s="1"/>
  <c r="J20" i="69"/>
  <c r="J19" s="1"/>
  <c r="J18" s="1"/>
  <c r="H22"/>
  <c r="K20"/>
  <c r="K19" s="1"/>
  <c r="K18" s="1"/>
  <c r="H93" i="61"/>
  <c r="E93" i="76"/>
  <c r="H205" i="61"/>
  <c r="E205" i="76"/>
  <c r="F20" i="69"/>
  <c r="F19" s="1"/>
  <c r="F18" s="1"/>
  <c r="C24"/>
  <c r="E97" i="76"/>
  <c r="H97" i="61"/>
  <c r="H196"/>
  <c r="E196" i="76"/>
  <c r="C194" i="61"/>
  <c r="C234"/>
  <c r="E92" i="76"/>
  <c r="C231" i="61"/>
  <c r="H92"/>
  <c r="C23" i="69"/>
  <c r="E20"/>
  <c r="E19" s="1"/>
  <c r="E18" s="1"/>
  <c r="H132" i="66"/>
  <c r="H99" i="61" l="1"/>
  <c r="R326" i="116"/>
  <c r="S326" s="1"/>
  <c r="R321"/>
  <c r="S321" s="1"/>
  <c r="R324"/>
  <c r="S324" s="1"/>
  <c r="G310" i="84"/>
  <c r="U12" i="85"/>
  <c r="U11"/>
  <c r="E99" i="76"/>
  <c r="E228" i="61"/>
  <c r="H8" i="72"/>
  <c r="C226" i="97"/>
  <c r="H226" s="1"/>
  <c r="H231" i="61"/>
  <c r="H98"/>
  <c r="E95" i="76"/>
  <c r="E100"/>
  <c r="H170" i="61"/>
  <c r="H234"/>
  <c r="E91" i="76"/>
  <c r="C226" i="66"/>
  <c r="H226" s="1"/>
  <c r="H193" i="67"/>
  <c r="C159" i="97"/>
  <c r="H159" s="1"/>
  <c r="D149"/>
  <c r="D215" s="1"/>
  <c r="C110"/>
  <c r="H110" s="1"/>
  <c r="C120" i="66"/>
  <c r="H120" s="1"/>
  <c r="C44" i="109"/>
  <c r="H44" s="1"/>
  <c r="C64"/>
  <c r="H64" s="1"/>
  <c r="C150" i="97"/>
  <c r="H150" s="1"/>
  <c r="H147" i="64"/>
  <c r="C58" i="97"/>
  <c r="H58" s="1"/>
  <c r="C58" i="109"/>
  <c r="H58" s="1"/>
  <c r="C51"/>
  <c r="H51" s="1"/>
  <c r="D50"/>
  <c r="D94" s="1"/>
  <c r="D231" s="1"/>
  <c r="D229" s="1"/>
  <c r="D228" s="1"/>
  <c r="H165" i="97"/>
  <c r="C51"/>
  <c r="H51" s="1"/>
  <c r="F149" i="66"/>
  <c r="F94" s="1"/>
  <c r="C147" i="61"/>
  <c r="H147" i="109"/>
  <c r="C146"/>
  <c r="C230" i="61"/>
  <c r="H91"/>
  <c r="H95"/>
  <c r="C30" i="109"/>
  <c r="H30" s="1"/>
  <c r="C75"/>
  <c r="H75" s="1"/>
  <c r="E12"/>
  <c r="E11" s="1"/>
  <c r="C14"/>
  <c r="D110"/>
  <c r="C112"/>
  <c r="A13" i="85"/>
  <c r="C181" i="66"/>
  <c r="C227" s="1"/>
  <c r="A13" i="84"/>
  <c r="E170" i="76"/>
  <c r="I88" i="78"/>
  <c r="J88" s="1"/>
  <c r="E98" i="76"/>
  <c r="H231" i="64"/>
  <c r="D228" i="61"/>
  <c r="H100"/>
  <c r="E10" i="66"/>
  <c r="E214" s="1"/>
  <c r="E213" s="1"/>
  <c r="E176"/>
  <c r="E208" s="1"/>
  <c r="C30"/>
  <c r="C25" s="1"/>
  <c r="H223" i="97"/>
  <c r="C87" i="64"/>
  <c r="H87" s="1"/>
  <c r="E94" i="66"/>
  <c r="E88" s="1"/>
  <c r="E87" s="1"/>
  <c r="E86" s="1"/>
  <c r="H117" i="61"/>
  <c r="E117" i="76"/>
  <c r="C223" i="66"/>
  <c r="H223" s="1"/>
  <c r="H76"/>
  <c r="F70"/>
  <c r="F94" i="109"/>
  <c r="C121"/>
  <c r="H121" s="1"/>
  <c r="F116"/>
  <c r="F109" s="1"/>
  <c r="F176" s="1"/>
  <c r="F116" i="97"/>
  <c r="F109" s="1"/>
  <c r="C121"/>
  <c r="H121" s="1"/>
  <c r="C88" i="61"/>
  <c r="E94" i="109"/>
  <c r="E88" s="1"/>
  <c r="E87" s="1"/>
  <c r="E86" s="1"/>
  <c r="H147" i="65"/>
  <c r="C149" i="109"/>
  <c r="H149" s="1"/>
  <c r="E151" i="76"/>
  <c r="I37" i="78"/>
  <c r="J37" s="1"/>
  <c r="H151" i="61"/>
  <c r="E176" i="109"/>
  <c r="E24" i="76"/>
  <c r="H24" i="61"/>
  <c r="F228"/>
  <c r="F215" i="109"/>
  <c r="C27" i="69"/>
  <c r="C20" s="1"/>
  <c r="C19" s="1"/>
  <c r="C18" s="1"/>
  <c r="E215" i="109"/>
  <c r="C150" i="66"/>
  <c r="H150" s="1"/>
  <c r="D94"/>
  <c r="D88" s="1"/>
  <c r="D87" s="1"/>
  <c r="D86" s="1"/>
  <c r="D215"/>
  <c r="H55"/>
  <c r="C51"/>
  <c r="H51" s="1"/>
  <c r="H62"/>
  <c r="C58"/>
  <c r="H58" s="1"/>
  <c r="H168"/>
  <c r="C165"/>
  <c r="F215" i="97"/>
  <c r="D227" i="66"/>
  <c r="D225" s="1"/>
  <c r="D179"/>
  <c r="D178" s="1"/>
  <c r="D177" s="1"/>
  <c r="D207" s="1"/>
  <c r="E215" i="97"/>
  <c r="H193" i="65"/>
  <c r="C26" i="109"/>
  <c r="E179" i="97"/>
  <c r="E178" s="1"/>
  <c r="E177" s="1"/>
  <c r="E207" s="1"/>
  <c r="E227"/>
  <c r="E225" s="1"/>
  <c r="F179" i="109"/>
  <c r="F178" s="1"/>
  <c r="F177" s="1"/>
  <c r="F207" s="1"/>
  <c r="F227"/>
  <c r="F225" s="1"/>
  <c r="C180"/>
  <c r="E179"/>
  <c r="E178" s="1"/>
  <c r="E177" s="1"/>
  <c r="E207" s="1"/>
  <c r="E227"/>
  <c r="E225" s="1"/>
  <c r="D32" i="97"/>
  <c r="C180"/>
  <c r="F179"/>
  <c r="F178" s="1"/>
  <c r="F177" s="1"/>
  <c r="F207" s="1"/>
  <c r="F227"/>
  <c r="F225" s="1"/>
  <c r="D25"/>
  <c r="C26"/>
  <c r="H118" i="66"/>
  <c r="C40"/>
  <c r="D32"/>
  <c r="D10" s="1"/>
  <c r="D70" s="1"/>
  <c r="E32" i="97"/>
  <c r="E10" s="1"/>
  <c r="E214" s="1"/>
  <c r="C41"/>
  <c r="H41" s="1"/>
  <c r="C118"/>
  <c r="D116"/>
  <c r="D109" s="1"/>
  <c r="C41" i="109"/>
  <c r="H41" s="1"/>
  <c r="E32"/>
  <c r="C118"/>
  <c r="D116"/>
  <c r="E231" i="76"/>
  <c r="J35" i="69"/>
  <c r="F70" i="109"/>
  <c r="C74" i="97"/>
  <c r="H74" s="1"/>
  <c r="E176"/>
  <c r="D110" i="66"/>
  <c r="D109" s="1"/>
  <c r="C112"/>
  <c r="H12" i="97"/>
  <c r="E94"/>
  <c r="F94"/>
  <c r="F70"/>
  <c r="C74" i="66"/>
  <c r="H74" s="1"/>
  <c r="C74" i="109"/>
  <c r="H74" s="1"/>
  <c r="H64" i="66"/>
  <c r="H11" i="97"/>
  <c r="D35" i="69"/>
  <c r="I35"/>
  <c r="H20"/>
  <c r="H19" s="1"/>
  <c r="H18" s="1"/>
  <c r="C192" i="109"/>
  <c r="H192" s="1"/>
  <c r="H193"/>
  <c r="C193" i="61"/>
  <c r="H194"/>
  <c r="F35" i="69"/>
  <c r="C192" i="97"/>
  <c r="H192" s="1"/>
  <c r="H193"/>
  <c r="E35" i="69"/>
  <c r="C232" i="61"/>
  <c r="H233"/>
  <c r="F79" i="66"/>
  <c r="F214"/>
  <c r="H229" i="64"/>
  <c r="E194" i="76"/>
  <c r="E193" s="1"/>
  <c r="E192" s="1"/>
  <c r="E234"/>
  <c r="E232" s="1"/>
  <c r="K35" i="69"/>
  <c r="V14" i="85" l="1"/>
  <c r="E88" i="76"/>
  <c r="E87" s="1"/>
  <c r="E86" s="1"/>
  <c r="E230"/>
  <c r="E229" s="1"/>
  <c r="E228" s="1"/>
  <c r="I8" i="72"/>
  <c r="J8" s="1"/>
  <c r="K8" s="1"/>
  <c r="L8" s="1"/>
  <c r="M8" s="1"/>
  <c r="N8" s="1"/>
  <c r="O8" s="1"/>
  <c r="P8" s="1"/>
  <c r="Q8" s="1"/>
  <c r="R8" s="1"/>
  <c r="S8" s="1"/>
  <c r="T8" s="1"/>
  <c r="C229" i="61"/>
  <c r="H232"/>
  <c r="H230"/>
  <c r="C87"/>
  <c r="E147" i="76"/>
  <c r="D176" i="97"/>
  <c r="D208" s="1"/>
  <c r="D94"/>
  <c r="C94" s="1"/>
  <c r="C86" i="64"/>
  <c r="H86" s="1"/>
  <c r="C116" i="66"/>
  <c r="H116" s="1"/>
  <c r="C149" i="97"/>
  <c r="H149" s="1"/>
  <c r="C50" i="109"/>
  <c r="H50" s="1"/>
  <c r="C50" i="97"/>
  <c r="H50" s="1"/>
  <c r="F176" i="66"/>
  <c r="F208" s="1"/>
  <c r="D215" i="109"/>
  <c r="F215" i="66"/>
  <c r="F213" s="1"/>
  <c r="H147" i="61"/>
  <c r="H146" i="109"/>
  <c r="C132"/>
  <c r="H132" s="1"/>
  <c r="C179" i="66"/>
  <c r="H179" s="1"/>
  <c r="E10" i="109"/>
  <c r="E214" s="1"/>
  <c r="E213" s="1"/>
  <c r="D25"/>
  <c r="H14"/>
  <c r="C12"/>
  <c r="D32"/>
  <c r="C40"/>
  <c r="H40" s="1"/>
  <c r="D223"/>
  <c r="C76"/>
  <c r="D109"/>
  <c r="D176" s="1"/>
  <c r="D208" s="1"/>
  <c r="H112"/>
  <c r="C110"/>
  <c r="H110" s="1"/>
  <c r="A15" i="85"/>
  <c r="H181" i="66"/>
  <c r="A14" i="84"/>
  <c r="U13" i="72"/>
  <c r="F88" i="109"/>
  <c r="F87" s="1"/>
  <c r="F86" s="1"/>
  <c r="E79" i="66"/>
  <c r="E224" s="1"/>
  <c r="E222" s="1"/>
  <c r="E221" s="1"/>
  <c r="E70"/>
  <c r="H30"/>
  <c r="E231"/>
  <c r="E229" s="1"/>
  <c r="E228" s="1"/>
  <c r="D88" i="109"/>
  <c r="D87" s="1"/>
  <c r="D86" s="1"/>
  <c r="D231" i="66"/>
  <c r="D229" s="1"/>
  <c r="D228" s="1"/>
  <c r="E231" i="109"/>
  <c r="E229" s="1"/>
  <c r="E228" s="1"/>
  <c r="F79"/>
  <c r="F231"/>
  <c r="F229" s="1"/>
  <c r="F228" s="1"/>
  <c r="H88" i="61"/>
  <c r="F214" i="109"/>
  <c r="F213" s="1"/>
  <c r="E79" i="97"/>
  <c r="E224" s="1"/>
  <c r="E222" s="1"/>
  <c r="E221" s="1"/>
  <c r="F208" i="109"/>
  <c r="E208" i="97"/>
  <c r="F79"/>
  <c r="F73" s="1"/>
  <c r="F72" s="1"/>
  <c r="F71" s="1"/>
  <c r="E208" i="109"/>
  <c r="C94" i="66"/>
  <c r="C231" s="1"/>
  <c r="F176" i="97"/>
  <c r="F208" s="1"/>
  <c r="F214"/>
  <c r="F213" s="1"/>
  <c r="C94" i="109"/>
  <c r="H94" s="1"/>
  <c r="C50" i="66"/>
  <c r="H50" s="1"/>
  <c r="E213" i="97"/>
  <c r="C32"/>
  <c r="H32" s="1"/>
  <c r="C149" i="66"/>
  <c r="H149" s="1"/>
  <c r="H165"/>
  <c r="F231"/>
  <c r="F229" s="1"/>
  <c r="F228" s="1"/>
  <c r="F88"/>
  <c r="F87" s="1"/>
  <c r="F86" s="1"/>
  <c r="E70" i="97"/>
  <c r="D10"/>
  <c r="H26" i="109"/>
  <c r="C25"/>
  <c r="H26" i="97"/>
  <c r="C25"/>
  <c r="H180" i="109"/>
  <c r="C179"/>
  <c r="C227"/>
  <c r="H180" i="97"/>
  <c r="C179"/>
  <c r="C227"/>
  <c r="C225" i="66"/>
  <c r="H225" s="1"/>
  <c r="H227"/>
  <c r="H40"/>
  <c r="C32"/>
  <c r="H32" s="1"/>
  <c r="H35" i="69"/>
  <c r="H118" i="109"/>
  <c r="C116"/>
  <c r="C116" i="97"/>
  <c r="H118"/>
  <c r="E88"/>
  <c r="E87" s="1"/>
  <c r="E86" s="1"/>
  <c r="E231"/>
  <c r="E229" s="1"/>
  <c r="E228" s="1"/>
  <c r="D176" i="66"/>
  <c r="D208" s="1"/>
  <c r="D79"/>
  <c r="D214"/>
  <c r="D213" s="1"/>
  <c r="F231" i="97"/>
  <c r="F229" s="1"/>
  <c r="F228" s="1"/>
  <c r="F88"/>
  <c r="F87" s="1"/>
  <c r="F86" s="1"/>
  <c r="C110" i="66"/>
  <c r="H112"/>
  <c r="H25"/>
  <c r="C35" i="69"/>
  <c r="F73" i="66"/>
  <c r="F72" s="1"/>
  <c r="F71" s="1"/>
  <c r="F224"/>
  <c r="F222" s="1"/>
  <c r="F221" s="1"/>
  <c r="H193" i="61"/>
  <c r="C192"/>
  <c r="C27" i="75"/>
  <c r="D10" i="109" l="1"/>
  <c r="D70" s="1"/>
  <c r="H229" i="61"/>
  <c r="C228"/>
  <c r="C86"/>
  <c r="H87"/>
  <c r="C15" i="75"/>
  <c r="R15" s="1"/>
  <c r="D231" i="97"/>
  <c r="D229" s="1"/>
  <c r="D228" s="1"/>
  <c r="D88"/>
  <c r="D87" s="1"/>
  <c r="D86" s="1"/>
  <c r="C215" i="109"/>
  <c r="H215" s="1"/>
  <c r="E79"/>
  <c r="E73" s="1"/>
  <c r="E72" s="1"/>
  <c r="E71" s="1"/>
  <c r="E101" s="1"/>
  <c r="C215" i="97"/>
  <c r="H215" s="1"/>
  <c r="C32" i="109"/>
  <c r="H32" s="1"/>
  <c r="C178" i="66"/>
  <c r="C177" s="1"/>
  <c r="C79"/>
  <c r="C224" s="1"/>
  <c r="E70" i="109"/>
  <c r="E73" i="66"/>
  <c r="E72" s="1"/>
  <c r="E71" s="1"/>
  <c r="E101" s="1"/>
  <c r="E102" s="1"/>
  <c r="H25" i="109"/>
  <c r="E220" i="66"/>
  <c r="H12" i="109"/>
  <c r="C11"/>
  <c r="H11" s="1"/>
  <c r="H76"/>
  <c r="C223"/>
  <c r="H223" s="1"/>
  <c r="U15" i="85"/>
  <c r="A16"/>
  <c r="V17" s="1"/>
  <c r="A15" i="84"/>
  <c r="F73" i="109"/>
  <c r="F72" s="1"/>
  <c r="F71" s="1"/>
  <c r="F101" s="1"/>
  <c r="F102" s="1"/>
  <c r="F224"/>
  <c r="F222" s="1"/>
  <c r="F221" s="1"/>
  <c r="F220" s="1"/>
  <c r="C88" i="66"/>
  <c r="C87" s="1"/>
  <c r="H94"/>
  <c r="C231" i="109"/>
  <c r="C229" s="1"/>
  <c r="H229" s="1"/>
  <c r="C88"/>
  <c r="C87" s="1"/>
  <c r="C86" s="1"/>
  <c r="H86" s="1"/>
  <c r="F220" i="66"/>
  <c r="E73" i="97"/>
  <c r="E72" s="1"/>
  <c r="E71" s="1"/>
  <c r="E101" s="1"/>
  <c r="E102" s="1"/>
  <c r="F224"/>
  <c r="F222" s="1"/>
  <c r="F221" s="1"/>
  <c r="F220" s="1"/>
  <c r="E220"/>
  <c r="C215" i="66"/>
  <c r="H215" s="1"/>
  <c r="F101"/>
  <c r="F102" s="1"/>
  <c r="C10"/>
  <c r="H10" s="1"/>
  <c r="D214" i="97"/>
  <c r="D213" s="1"/>
  <c r="D70"/>
  <c r="D79"/>
  <c r="C225"/>
  <c r="H225" s="1"/>
  <c r="H227"/>
  <c r="C225" i="109"/>
  <c r="H225" s="1"/>
  <c r="H227"/>
  <c r="H25" i="97"/>
  <c r="C10"/>
  <c r="C178"/>
  <c r="H179"/>
  <c r="C178" i="109"/>
  <c r="H179"/>
  <c r="H116" i="97"/>
  <c r="C109"/>
  <c r="H116" i="109"/>
  <c r="C109"/>
  <c r="C231" i="97"/>
  <c r="H94"/>
  <c r="C88"/>
  <c r="D224" i="66"/>
  <c r="D222" s="1"/>
  <c r="D221" s="1"/>
  <c r="D220" s="1"/>
  <c r="D73"/>
  <c r="D72" s="1"/>
  <c r="D71" s="1"/>
  <c r="D101" s="1"/>
  <c r="D102" s="1"/>
  <c r="F101" i="97"/>
  <c r="F102" s="1"/>
  <c r="H110" i="66"/>
  <c r="C109"/>
  <c r="R71" i="85"/>
  <c r="H192" i="61"/>
  <c r="H231" i="66"/>
  <c r="C229"/>
  <c r="S27" i="75"/>
  <c r="R27"/>
  <c r="H228" i="61" l="1"/>
  <c r="V20" i="85"/>
  <c r="D79" i="109"/>
  <c r="D73" s="1"/>
  <c r="D72" s="1"/>
  <c r="D71" s="1"/>
  <c r="D101" s="1"/>
  <c r="D102" s="1"/>
  <c r="D214"/>
  <c r="D213" s="1"/>
  <c r="I71" i="85"/>
  <c r="H86" i="61"/>
  <c r="S15" i="75"/>
  <c r="E224" i="109"/>
  <c r="E222" s="1"/>
  <c r="E221" s="1"/>
  <c r="E220" s="1"/>
  <c r="E102"/>
  <c r="H178" i="66"/>
  <c r="C73"/>
  <c r="C72" s="1"/>
  <c r="H79"/>
  <c r="C10" i="109"/>
  <c r="C70" s="1"/>
  <c r="A18" i="85"/>
  <c r="V19" s="1"/>
  <c r="U16"/>
  <c r="U17" s="1"/>
  <c r="A16" i="84"/>
  <c r="U8" i="72"/>
  <c r="H231" i="109"/>
  <c r="H88" i="66"/>
  <c r="H87" i="109"/>
  <c r="H88"/>
  <c r="C70" i="66"/>
  <c r="C214"/>
  <c r="H214" s="1"/>
  <c r="C228" i="109"/>
  <c r="H228" s="1"/>
  <c r="D73" i="97"/>
  <c r="D72" s="1"/>
  <c r="D71" s="1"/>
  <c r="D101" s="1"/>
  <c r="D102" s="1"/>
  <c r="C79"/>
  <c r="D224"/>
  <c r="D222" s="1"/>
  <c r="D221" s="1"/>
  <c r="D220" s="1"/>
  <c r="H178" i="109"/>
  <c r="C177"/>
  <c r="H178" i="97"/>
  <c r="C177"/>
  <c r="H10"/>
  <c r="C70"/>
  <c r="H177" i="66"/>
  <c r="C207"/>
  <c r="C176" i="97"/>
  <c r="H109"/>
  <c r="C214"/>
  <c r="C176" i="109"/>
  <c r="H109"/>
  <c r="C176" i="66"/>
  <c r="H109"/>
  <c r="C229" i="97"/>
  <c r="H231"/>
  <c r="C87"/>
  <c r="H88"/>
  <c r="H229" i="66"/>
  <c r="C228"/>
  <c r="H228" s="1"/>
  <c r="C222"/>
  <c r="H224"/>
  <c r="H87"/>
  <c r="C86"/>
  <c r="H86" s="1"/>
  <c r="C79" i="109" l="1"/>
  <c r="C224" s="1"/>
  <c r="D224"/>
  <c r="D222" s="1"/>
  <c r="D221" s="1"/>
  <c r="D220" s="1"/>
  <c r="H70"/>
  <c r="C214"/>
  <c r="C213" s="1"/>
  <c r="H213" s="1"/>
  <c r="H10"/>
  <c r="H73" i="66"/>
  <c r="A22" i="85"/>
  <c r="U18"/>
  <c r="U19" s="1"/>
  <c r="A17" i="84"/>
  <c r="H70" i="66"/>
  <c r="C213"/>
  <c r="H213" s="1"/>
  <c r="C73" i="97"/>
  <c r="H79"/>
  <c r="C224"/>
  <c r="H207" i="66"/>
  <c r="H177" i="97"/>
  <c r="C207"/>
  <c r="C207" i="109"/>
  <c r="H177"/>
  <c r="H70" i="97"/>
  <c r="H214"/>
  <c r="C213"/>
  <c r="H213" s="1"/>
  <c r="H176" i="109"/>
  <c r="H176" i="97"/>
  <c r="C86"/>
  <c r="H86" s="1"/>
  <c r="H87"/>
  <c r="C228"/>
  <c r="H228" s="1"/>
  <c r="H229"/>
  <c r="H176" i="66"/>
  <c r="C208"/>
  <c r="H222"/>
  <c r="C221"/>
  <c r="H72"/>
  <c r="C71"/>
  <c r="U22" i="85" l="1"/>
  <c r="A23"/>
  <c r="H208" i="66"/>
  <c r="H79" i="109"/>
  <c r="C73"/>
  <c r="H73" s="1"/>
  <c r="H224"/>
  <c r="C222"/>
  <c r="H222" s="1"/>
  <c r="H207"/>
  <c r="C208" i="97"/>
  <c r="H214" i="109"/>
  <c r="A18" i="84"/>
  <c r="C208" i="109"/>
  <c r="C72" i="97"/>
  <c r="H73"/>
  <c r="C222"/>
  <c r="H224"/>
  <c r="H207"/>
  <c r="H71" i="66"/>
  <c r="C101"/>
  <c r="C220"/>
  <c r="H220" s="1"/>
  <c r="H221"/>
  <c r="A24" i="85" l="1"/>
  <c r="U23"/>
  <c r="H208" i="97"/>
  <c r="H208" i="109"/>
  <c r="C72"/>
  <c r="C71" s="1"/>
  <c r="C101" s="1"/>
  <c r="C221"/>
  <c r="H221" s="1"/>
  <c r="A19" i="84"/>
  <c r="H72" i="97"/>
  <c r="C71"/>
  <c r="H222"/>
  <c r="C221"/>
  <c r="H101" i="66"/>
  <c r="C102"/>
  <c r="H102" s="1"/>
  <c r="U24" i="85" l="1"/>
  <c r="U25" s="1"/>
  <c r="V25"/>
  <c r="A26"/>
  <c r="H71" i="109"/>
  <c r="H72"/>
  <c r="C220"/>
  <c r="H220" s="1"/>
  <c r="A20" i="84"/>
  <c r="H71" i="97"/>
  <c r="C101"/>
  <c r="H221"/>
  <c r="C220"/>
  <c r="H220" s="1"/>
  <c r="C102" i="109"/>
  <c r="H102" s="1"/>
  <c r="H101"/>
  <c r="U26" i="85" l="1"/>
  <c r="A27"/>
  <c r="A21" i="84"/>
  <c r="H101" i="97"/>
  <c r="C102"/>
  <c r="H102" s="1"/>
  <c r="A28" i="85" l="1"/>
  <c r="V29" s="1"/>
  <c r="U27"/>
  <c r="A22" i="84"/>
  <c r="U28" i="85" l="1"/>
  <c r="U29" s="1"/>
  <c r="A30"/>
  <c r="V31" s="1"/>
  <c r="V32" s="1"/>
  <c r="A23" i="84"/>
  <c r="A34" i="85" l="1"/>
  <c r="U30"/>
  <c r="U31" s="1"/>
  <c r="U32" s="1"/>
  <c r="A24" i="84"/>
  <c r="U34" i="85" l="1"/>
  <c r="A35"/>
  <c r="A25" i="84"/>
  <c r="U35" i="85" l="1"/>
  <c r="A36"/>
  <c r="A26" i="84"/>
  <c r="V37" i="85" l="1"/>
  <c r="U36"/>
  <c r="U37" s="1"/>
  <c r="A38"/>
  <c r="V39" s="1"/>
  <c r="A27" i="84"/>
  <c r="A40" i="85" l="1"/>
  <c r="V41" s="1"/>
  <c r="V42" s="1"/>
  <c r="U38"/>
  <c r="U39" s="1"/>
  <c r="A28" i="84"/>
  <c r="A44" i="85" l="1"/>
  <c r="U40"/>
  <c r="U41" s="1"/>
  <c r="U42" s="1"/>
  <c r="A29" i="84"/>
  <c r="A45" i="85" l="1"/>
  <c r="A30" i="84"/>
  <c r="A46" i="85" l="1"/>
  <c r="A31" i="84"/>
  <c r="V47" i="85" l="1"/>
  <c r="A48"/>
  <c r="V49" s="1"/>
  <c r="A32" i="84"/>
  <c r="U48" i="85" l="1"/>
  <c r="U49" s="1"/>
  <c r="A50"/>
  <c r="V51" s="1"/>
  <c r="V52" s="1"/>
  <c r="A33" i="84"/>
  <c r="A54" i="85" l="1"/>
  <c r="V55" s="1"/>
  <c r="U50"/>
  <c r="U51" s="1"/>
  <c r="A34" i="84"/>
  <c r="U54" i="85" l="1"/>
  <c r="U55" s="1"/>
  <c r="A56"/>
  <c r="A35" i="84"/>
  <c r="U56" i="85" l="1"/>
  <c r="U57" s="1"/>
  <c r="V57"/>
  <c r="V60" s="1"/>
  <c r="A58"/>
  <c r="V59" s="1"/>
  <c r="A36" i="84"/>
  <c r="A62" i="85" l="1"/>
  <c r="U58"/>
  <c r="U59" s="1"/>
  <c r="U60" s="1"/>
  <c r="A37" i="84"/>
  <c r="U63" i="85" l="1"/>
  <c r="V63"/>
  <c r="A64"/>
  <c r="V65" s="1"/>
  <c r="A38" i="84"/>
  <c r="A66" i="85" l="1"/>
  <c r="U64"/>
  <c r="U65" s="1"/>
  <c r="A39" i="84"/>
  <c r="U66" i="85" l="1"/>
  <c r="U67" s="1"/>
  <c r="U68" s="1"/>
  <c r="V67"/>
  <c r="V68" s="1"/>
  <c r="V70" s="1"/>
  <c r="V72" s="1"/>
  <c r="A40" i="84"/>
  <c r="A41" l="1"/>
  <c r="A42" l="1"/>
  <c r="A43" l="1"/>
  <c r="A44" l="1"/>
  <c r="A45" l="1"/>
  <c r="A46" l="1"/>
  <c r="A47" l="1"/>
  <c r="A48" l="1"/>
  <c r="A49" l="1"/>
  <c r="A50" l="1"/>
  <c r="A51" l="1"/>
  <c r="A52" l="1"/>
  <c r="A53" l="1"/>
  <c r="A54" l="1"/>
  <c r="A55" l="1"/>
  <c r="A56" l="1"/>
  <c r="A57" l="1"/>
  <c r="A58" l="1"/>
  <c r="A59" l="1"/>
  <c r="A60" l="1"/>
  <c r="A61" l="1"/>
  <c r="A62" l="1"/>
  <c r="A63" l="1"/>
  <c r="A64" l="1"/>
  <c r="A65" l="1"/>
  <c r="A66" l="1"/>
  <c r="A67" l="1"/>
  <c r="A68" s="1"/>
  <c r="A69" l="1"/>
  <c r="A70" l="1"/>
  <c r="A71" l="1"/>
  <c r="A72" l="1"/>
  <c r="A73" l="1"/>
  <c r="A74" l="1"/>
  <c r="A75" l="1"/>
  <c r="A76" l="1"/>
  <c r="A77" l="1"/>
  <c r="A78" l="1"/>
  <c r="A79" l="1"/>
  <c r="A81" l="1"/>
  <c r="A82" l="1"/>
  <c r="A83" l="1"/>
  <c r="A84" l="1"/>
  <c r="A85" l="1"/>
  <c r="A86" l="1"/>
  <c r="A88" l="1"/>
  <c r="A92" l="1"/>
  <c r="A93" l="1"/>
  <c r="A94" l="1"/>
  <c r="A95" l="1"/>
  <c r="A96" l="1"/>
  <c r="A98" l="1"/>
  <c r="A99" l="1"/>
  <c r="A100" l="1"/>
  <c r="A102" l="1"/>
  <c r="A103" l="1"/>
  <c r="A104" l="1"/>
  <c r="A105" l="1"/>
  <c r="A106" l="1"/>
  <c r="A107" l="1"/>
  <c r="K299"/>
  <c r="Q299"/>
  <c r="M299"/>
  <c r="L299"/>
  <c r="P299"/>
  <c r="J299"/>
  <c r="I299"/>
  <c r="H298"/>
  <c r="H299" s="1"/>
  <c r="O299"/>
  <c r="N298"/>
  <c r="K54" i="85"/>
  <c r="K55" s="1"/>
  <c r="P54"/>
  <c r="P55" s="1"/>
  <c r="A108" i="84" l="1"/>
  <c r="L54" i="85"/>
  <c r="L55" s="1"/>
  <c r="Q54"/>
  <c r="Q55" s="1"/>
  <c r="M54"/>
  <c r="M55" s="1"/>
  <c r="O54"/>
  <c r="O55" s="1"/>
  <c r="N54"/>
  <c r="N55" s="1"/>
  <c r="R54"/>
  <c r="R55" s="1"/>
  <c r="G298" i="84"/>
  <c r="G299" s="1"/>
  <c r="N299"/>
  <c r="N301"/>
  <c r="H301"/>
  <c r="A112" l="1"/>
  <c r="S54" i="85"/>
  <c r="S55" s="1"/>
  <c r="L304" i="84"/>
  <c r="M304"/>
  <c r="Q304"/>
  <c r="K304"/>
  <c r="J304"/>
  <c r="P304"/>
  <c r="O304"/>
  <c r="N303"/>
  <c r="N304" s="1"/>
  <c r="I304"/>
  <c r="H303"/>
  <c r="G301"/>
  <c r="A113" l="1"/>
  <c r="H307"/>
  <c r="G303"/>
  <c r="G304" s="1"/>
  <c r="H304"/>
  <c r="N307"/>
  <c r="A114" l="1"/>
  <c r="N308"/>
  <c r="H308"/>
  <c r="G307"/>
  <c r="A115" l="1"/>
  <c r="G308"/>
  <c r="N309"/>
  <c r="H309"/>
  <c r="J312"/>
  <c r="K312"/>
  <c r="M312"/>
  <c r="P312"/>
  <c r="L312"/>
  <c r="Q312"/>
  <c r="A116" l="1"/>
  <c r="M58" i="85"/>
  <c r="M59" s="1"/>
  <c r="R58"/>
  <c r="R59" s="1"/>
  <c r="Q58"/>
  <c r="Q59" s="1"/>
  <c r="H311" i="84"/>
  <c r="H312" s="1"/>
  <c r="I312"/>
  <c r="G309"/>
  <c r="K314"/>
  <c r="J314"/>
  <c r="P314"/>
  <c r="L314"/>
  <c r="Q314"/>
  <c r="M314"/>
  <c r="N311"/>
  <c r="N312" s="1"/>
  <c r="O312"/>
  <c r="A117" l="1"/>
  <c r="I314"/>
  <c r="O314"/>
  <c r="H313"/>
  <c r="H314" s="1"/>
  <c r="N313"/>
  <c r="N314" s="1"/>
  <c r="G311"/>
  <c r="G312" s="1"/>
  <c r="P316"/>
  <c r="L316"/>
  <c r="Q316"/>
  <c r="M316"/>
  <c r="K64" i="85"/>
  <c r="K65" s="1"/>
  <c r="P64"/>
  <c r="P65" s="1"/>
  <c r="J316" i="84"/>
  <c r="K316"/>
  <c r="A119" l="1"/>
  <c r="O64" i="85"/>
  <c r="O65" s="1"/>
  <c r="L64"/>
  <c r="L65" s="1"/>
  <c r="R64"/>
  <c r="R65" s="1"/>
  <c r="Q64"/>
  <c r="Q65" s="1"/>
  <c r="M64"/>
  <c r="M65" s="1"/>
  <c r="N64"/>
  <c r="N65" s="1"/>
  <c r="P66"/>
  <c r="P67" s="1"/>
  <c r="O316" i="84"/>
  <c r="O317" s="1"/>
  <c r="K66" i="85"/>
  <c r="K67" s="1"/>
  <c r="I316" i="84"/>
  <c r="I317" s="1"/>
  <c r="L317"/>
  <c r="N66" i="85"/>
  <c r="N67" s="1"/>
  <c r="J317" i="84"/>
  <c r="L66" i="85"/>
  <c r="L67" s="1"/>
  <c r="Q317" i="84"/>
  <c r="R66" i="85"/>
  <c r="R67" s="1"/>
  <c r="K317" i="84"/>
  <c r="M66" i="85"/>
  <c r="M67" s="1"/>
  <c r="M317" i="84"/>
  <c r="O66" i="85"/>
  <c r="O67" s="1"/>
  <c r="P317" i="84"/>
  <c r="Q66" i="85"/>
  <c r="Q67" s="1"/>
  <c r="H315" i="84"/>
  <c r="H316" s="1"/>
  <c r="G313"/>
  <c r="G314" s="1"/>
  <c r="N315"/>
  <c r="A121" l="1"/>
  <c r="S64" i="85"/>
  <c r="S65" s="1"/>
  <c r="P58"/>
  <c r="P59" s="1"/>
  <c r="O58"/>
  <c r="O59" s="1"/>
  <c r="L58"/>
  <c r="L59" s="1"/>
  <c r="N58"/>
  <c r="N59" s="1"/>
  <c r="K58"/>
  <c r="N316" i="84"/>
  <c r="N317" s="1"/>
  <c r="R62" i="85"/>
  <c r="R63" s="1"/>
  <c r="R68" s="1"/>
  <c r="N62"/>
  <c r="N63" s="1"/>
  <c r="N68" s="1"/>
  <c r="S66"/>
  <c r="M62"/>
  <c r="M63" s="1"/>
  <c r="M68" s="1"/>
  <c r="L62"/>
  <c r="L63" s="1"/>
  <c r="L68" s="1"/>
  <c r="Q62"/>
  <c r="Q63" s="1"/>
  <c r="Q68" s="1"/>
  <c r="O62"/>
  <c r="O63" s="1"/>
  <c r="O68" s="1"/>
  <c r="P62"/>
  <c r="P63" s="1"/>
  <c r="P68" s="1"/>
  <c r="K62"/>
  <c r="H317" i="84"/>
  <c r="G315"/>
  <c r="A125" l="1"/>
  <c r="K59" i="85"/>
  <c r="S58"/>
  <c r="S59" s="1"/>
  <c r="G316" i="84"/>
  <c r="G317" s="1"/>
  <c r="S62" i="85"/>
  <c r="K63"/>
  <c r="K68" s="1"/>
  <c r="S67"/>
  <c r="A126" i="84" l="1"/>
  <c r="S63" i="85"/>
  <c r="S68" s="1"/>
  <c r="Z68" s="1"/>
  <c r="A127" i="84" l="1"/>
  <c r="A128" l="1"/>
  <c r="A129" l="1"/>
  <c r="A131" l="1"/>
  <c r="A133" l="1"/>
  <c r="A137" l="1"/>
  <c r="K138" l="1"/>
  <c r="A139"/>
  <c r="O138"/>
  <c r="A140" l="1"/>
  <c r="H137"/>
  <c r="I138"/>
  <c r="C54" i="85"/>
  <c r="F54"/>
  <c r="F55" s="1"/>
  <c r="L138" i="84"/>
  <c r="M137"/>
  <c r="M138" s="1"/>
  <c r="N138"/>
  <c r="J138"/>
  <c r="D54" i="85"/>
  <c r="D55" s="1"/>
  <c r="P138" i="84"/>
  <c r="I54" i="85"/>
  <c r="I55" s="1"/>
  <c r="U47"/>
  <c r="U52" s="1"/>
  <c r="H138" i="84" l="1"/>
  <c r="G137"/>
  <c r="G138" s="1"/>
  <c r="E54" i="85"/>
  <c r="E55" s="1"/>
  <c r="J141" i="84"/>
  <c r="O141"/>
  <c r="N141"/>
  <c r="L141"/>
  <c r="K141"/>
  <c r="A142"/>
  <c r="P141"/>
  <c r="C55" i="85"/>
  <c r="H54"/>
  <c r="H55" s="1"/>
  <c r="G54"/>
  <c r="G55" s="1"/>
  <c r="M139" i="84"/>
  <c r="H139"/>
  <c r="D137" i="77"/>
  <c r="U13" i="85" s="1"/>
  <c r="D56" l="1"/>
  <c r="D57" s="1"/>
  <c r="F56"/>
  <c r="F57" s="1"/>
  <c r="H140" i="84"/>
  <c r="H141" s="1"/>
  <c r="L143"/>
  <c r="L144" s="1"/>
  <c r="A146"/>
  <c r="J54" i="85"/>
  <c r="G139" i="84"/>
  <c r="I141"/>
  <c r="M140"/>
  <c r="M141" s="1"/>
  <c r="U14" i="85"/>
  <c r="U20" s="1"/>
  <c r="U70" s="1"/>
  <c r="U72" s="1"/>
  <c r="I56" l="1"/>
  <c r="I57" s="1"/>
  <c r="P143" i="84"/>
  <c r="P144" s="1"/>
  <c r="I58" i="85"/>
  <c r="I59" s="1"/>
  <c r="G140" i="84"/>
  <c r="G141" s="1"/>
  <c r="G56" i="85"/>
  <c r="G57" s="1"/>
  <c r="M142" i="84"/>
  <c r="M143" s="1"/>
  <c r="M144" s="1"/>
  <c r="N143"/>
  <c r="N144" s="1"/>
  <c r="G58" i="85"/>
  <c r="G59" s="1"/>
  <c r="H56"/>
  <c r="H57" s="1"/>
  <c r="O143" i="84"/>
  <c r="O144" s="1"/>
  <c r="H58" i="85"/>
  <c r="H59" s="1"/>
  <c r="T54"/>
  <c r="W54" s="1"/>
  <c r="J55"/>
  <c r="A147" i="84"/>
  <c r="E56" i="85"/>
  <c r="E57" s="1"/>
  <c r="K143" i="84"/>
  <c r="K144" s="1"/>
  <c r="E58" i="85"/>
  <c r="E59" s="1"/>
  <c r="C56"/>
  <c r="I143" i="84"/>
  <c r="I144" s="1"/>
  <c r="H142"/>
  <c r="C58" i="85"/>
  <c r="J143" i="84"/>
  <c r="J144" s="1"/>
  <c r="D58" i="85"/>
  <c r="D59" s="1"/>
  <c r="D60" s="1"/>
  <c r="M146" i="84" l="1"/>
  <c r="H146"/>
  <c r="G60" i="85"/>
  <c r="H143" i="84"/>
  <c r="H144" s="1"/>
  <c r="G142"/>
  <c r="G143" s="1"/>
  <c r="G144" s="1"/>
  <c r="C59" i="85"/>
  <c r="W55"/>
  <c r="T55"/>
  <c r="E60"/>
  <c r="J56"/>
  <c r="J57" s="1"/>
  <c r="C57"/>
  <c r="A148" i="84"/>
  <c r="H60" i="85"/>
  <c r="I60"/>
  <c r="H147" i="84" l="1"/>
  <c r="A149"/>
  <c r="M147"/>
  <c r="G146"/>
  <c r="C60" i="85"/>
  <c r="K56"/>
  <c r="K57" s="1"/>
  <c r="K60" s="1"/>
  <c r="L56"/>
  <c r="L57" s="1"/>
  <c r="L60" s="1"/>
  <c r="M56"/>
  <c r="M57" s="1"/>
  <c r="M60" s="1"/>
  <c r="N56"/>
  <c r="N57" s="1"/>
  <c r="N60" s="1"/>
  <c r="O56"/>
  <c r="O57" s="1"/>
  <c r="O60" s="1"/>
  <c r="P56"/>
  <c r="P57" s="1"/>
  <c r="P60" s="1"/>
  <c r="Q56"/>
  <c r="Q57" s="1"/>
  <c r="Q60" s="1"/>
  <c r="R56"/>
  <c r="R57" s="1"/>
  <c r="R60" s="1"/>
  <c r="M148" i="84" l="1"/>
  <c r="H148"/>
  <c r="G147"/>
  <c r="A150"/>
  <c r="K302"/>
  <c r="K305" s="1"/>
  <c r="J302"/>
  <c r="J305" s="1"/>
  <c r="P302"/>
  <c r="P305" s="1"/>
  <c r="M302"/>
  <c r="M305" s="1"/>
  <c r="H300"/>
  <c r="H302" s="1"/>
  <c r="H305" s="1"/>
  <c r="O302"/>
  <c r="O305" s="1"/>
  <c r="L302"/>
  <c r="L305" s="1"/>
  <c r="Q302"/>
  <c r="Q305" s="1"/>
  <c r="N300"/>
  <c r="N302" s="1"/>
  <c r="N305" s="1"/>
  <c r="I302"/>
  <c r="I305" s="1"/>
  <c r="S56" i="85"/>
  <c r="G148" i="84" l="1"/>
  <c r="H149"/>
  <c r="M149"/>
  <c r="I151"/>
  <c r="G62" i="85"/>
  <c r="G63" s="1"/>
  <c r="J151" i="84"/>
  <c r="O151"/>
  <c r="K151"/>
  <c r="A152"/>
  <c r="P151"/>
  <c r="G300"/>
  <c r="G302" s="1"/>
  <c r="G305" s="1"/>
  <c r="T56" i="85"/>
  <c r="W56" s="1"/>
  <c r="S57"/>
  <c r="S60" s="1"/>
  <c r="G149" i="84" l="1"/>
  <c r="H150"/>
  <c r="H151" s="1"/>
  <c r="A154"/>
  <c r="F58" i="85"/>
  <c r="L151" i="84"/>
  <c r="N151"/>
  <c r="M150"/>
  <c r="M151" s="1"/>
  <c r="Z60" i="85"/>
  <c r="T57"/>
  <c r="W57"/>
  <c r="G150" i="84" l="1"/>
  <c r="G151" s="1"/>
  <c r="F59" i="85"/>
  <c r="F60" s="1"/>
  <c r="J58"/>
  <c r="D62"/>
  <c r="D63" s="1"/>
  <c r="D64"/>
  <c r="D65" s="1"/>
  <c r="J153" i="84"/>
  <c r="F62" i="85"/>
  <c r="F63" s="1"/>
  <c r="F64"/>
  <c r="F65" s="1"/>
  <c r="L153" i="84"/>
  <c r="H62" i="85"/>
  <c r="H63" s="1"/>
  <c r="O153" i="84"/>
  <c r="I62" i="85"/>
  <c r="I63" s="1"/>
  <c r="P153" i="84"/>
  <c r="I64" i="85"/>
  <c r="I65" s="1"/>
  <c r="E62"/>
  <c r="E63" s="1"/>
  <c r="E64"/>
  <c r="E65" s="1"/>
  <c r="K153" i="84"/>
  <c r="C62" i="85"/>
  <c r="H152" i="84"/>
  <c r="I153"/>
  <c r="G64" i="85"/>
  <c r="G65" s="1"/>
  <c r="N153" i="84"/>
  <c r="M152"/>
  <c r="M153" s="1"/>
  <c r="G152" l="1"/>
  <c r="G153" s="1"/>
  <c r="H153"/>
  <c r="J62" i="85"/>
  <c r="C63"/>
  <c r="I66"/>
  <c r="I67" s="1"/>
  <c r="I68" s="1"/>
  <c r="P155" i="84"/>
  <c r="P156" s="1"/>
  <c r="G66" i="85"/>
  <c r="G67" s="1"/>
  <c r="G68" s="1"/>
  <c r="N155" i="84"/>
  <c r="N156" s="1"/>
  <c r="M154"/>
  <c r="M155" s="1"/>
  <c r="M156" s="1"/>
  <c r="C64" i="85"/>
  <c r="C66"/>
  <c r="I155" i="84"/>
  <c r="I156" s="1"/>
  <c r="H154"/>
  <c r="F66" i="85"/>
  <c r="F67" s="1"/>
  <c r="F68" s="1"/>
  <c r="L155" i="84"/>
  <c r="L156" s="1"/>
  <c r="H64" i="85"/>
  <c r="H65" s="1"/>
  <c r="H66"/>
  <c r="H67" s="1"/>
  <c r="O155" i="84"/>
  <c r="O156" s="1"/>
  <c r="E66" i="85"/>
  <c r="E67" s="1"/>
  <c r="E68" s="1"/>
  <c r="K155" i="84"/>
  <c r="K156" s="1"/>
  <c r="J155"/>
  <c r="J156" s="1"/>
  <c r="D66" i="85"/>
  <c r="D67" s="1"/>
  <c r="D68" s="1"/>
  <c r="T58"/>
  <c r="W58" s="1"/>
  <c r="J59"/>
  <c r="J60" s="1"/>
  <c r="Y60" s="1"/>
  <c r="H68" l="1"/>
  <c r="T59"/>
  <c r="T60" s="1"/>
  <c r="W59"/>
  <c r="W60" s="1"/>
  <c r="H155" i="84"/>
  <c r="H156" s="1"/>
  <c r="G154"/>
  <c r="G155" s="1"/>
  <c r="G156" s="1"/>
  <c r="J66" i="85"/>
  <c r="C67"/>
  <c r="J64"/>
  <c r="C65"/>
  <c r="J63"/>
  <c r="T62"/>
  <c r="W62" s="1"/>
  <c r="C68" l="1"/>
  <c r="T63"/>
  <c r="W63"/>
  <c r="T64"/>
  <c r="W64" s="1"/>
  <c r="J65"/>
  <c r="J67"/>
  <c r="T66"/>
  <c r="W66" s="1"/>
  <c r="J68" l="1"/>
  <c r="Y68" s="1"/>
  <c r="T67"/>
  <c r="W67"/>
  <c r="W65"/>
  <c r="T65"/>
  <c r="W68" l="1"/>
  <c r="T68"/>
  <c r="L35" l="1"/>
  <c r="P122" i="84"/>
  <c r="L36" i="85"/>
  <c r="J281" i="84"/>
  <c r="L38" i="85"/>
  <c r="L39" s="1"/>
  <c r="L34"/>
  <c r="J279" i="84" l="1"/>
  <c r="L37" i="85"/>
  <c r="G36"/>
  <c r="J122" i="84"/>
  <c r="K122"/>
  <c r="K36" i="85"/>
  <c r="G38"/>
  <c r="G39" s="1"/>
  <c r="K38"/>
  <c r="N122" i="84"/>
  <c r="G40" i="85"/>
  <c r="G41" s="1"/>
  <c r="I40"/>
  <c r="I41" s="1"/>
  <c r="N36"/>
  <c r="R36"/>
  <c r="H36"/>
  <c r="Q281" i="84"/>
  <c r="R38" i="85"/>
  <c r="R39" s="1"/>
  <c r="I36"/>
  <c r="P120" i="84"/>
  <c r="I38" i="85"/>
  <c r="I39" s="1"/>
  <c r="L281" i="84"/>
  <c r="N38" i="85"/>
  <c r="N39" s="1"/>
  <c r="I281" i="84" l="1"/>
  <c r="M112"/>
  <c r="H34" i="85"/>
  <c r="N120" i="84"/>
  <c r="P38" i="85"/>
  <c r="P39" s="1"/>
  <c r="O281" i="84"/>
  <c r="N280"/>
  <c r="N281" s="1"/>
  <c r="O35" i="85"/>
  <c r="N278" i="84"/>
  <c r="P34" i="85"/>
  <c r="M115" i="84"/>
  <c r="H115"/>
  <c r="P36" i="85"/>
  <c r="N276" i="84"/>
  <c r="E40" i="85"/>
  <c r="E41" s="1"/>
  <c r="K40"/>
  <c r="D38"/>
  <c r="D39" s="1"/>
  <c r="C40"/>
  <c r="I122" i="84"/>
  <c r="I283"/>
  <c r="D40" i="85"/>
  <c r="D41" s="1"/>
  <c r="H276" i="84"/>
  <c r="D36" i="85"/>
  <c r="H280" i="84"/>
  <c r="F36" i="85"/>
  <c r="L120" i="84"/>
  <c r="F38" i="85"/>
  <c r="F39" s="1"/>
  <c r="K39"/>
  <c r="O36"/>
  <c r="M281" i="84"/>
  <c r="O38" i="85"/>
  <c r="O39" s="1"/>
  <c r="C36"/>
  <c r="I120" i="84"/>
  <c r="C38" i="85"/>
  <c r="E36"/>
  <c r="E38"/>
  <c r="E39" s="1"/>
  <c r="K120" i="84"/>
  <c r="Q38" i="85"/>
  <c r="Q39" s="1"/>
  <c r="P281" i="84"/>
  <c r="O34" i="85"/>
  <c r="D34"/>
  <c r="Q34"/>
  <c r="H112" i="84"/>
  <c r="C34" i="85"/>
  <c r="E34"/>
  <c r="N34" l="1"/>
  <c r="I34"/>
  <c r="J283" i="84"/>
  <c r="J284" s="1"/>
  <c r="L40" i="85"/>
  <c r="L41" s="1"/>
  <c r="L42" s="1"/>
  <c r="J120" i="84"/>
  <c r="G280"/>
  <c r="G281" s="1"/>
  <c r="C35" i="85"/>
  <c r="C37" s="1"/>
  <c r="M279" i="84"/>
  <c r="I118"/>
  <c r="I123" s="1"/>
  <c r="H119"/>
  <c r="H120" s="1"/>
  <c r="N274"/>
  <c r="Q36" i="85"/>
  <c r="H275" i="84"/>
  <c r="H281"/>
  <c r="G276"/>
  <c r="M116"/>
  <c r="J36" i="85"/>
  <c r="I279" i="84"/>
  <c r="I284" s="1"/>
  <c r="O37" i="85"/>
  <c r="H114" i="84"/>
  <c r="G115"/>
  <c r="K34" i="85"/>
  <c r="C41"/>
  <c r="K41"/>
  <c r="C39"/>
  <c r="M36"/>
  <c r="K281" i="84"/>
  <c r="M38" i="85"/>
  <c r="G112" i="84"/>
  <c r="H273" l="1"/>
  <c r="R34" i="85"/>
  <c r="N273" i="84"/>
  <c r="P283"/>
  <c r="Q40" i="85"/>
  <c r="Q41" s="1"/>
  <c r="M117" i="84"/>
  <c r="G34" i="85"/>
  <c r="O120" i="84"/>
  <c r="H38" i="85"/>
  <c r="M119" i="84"/>
  <c r="M120" s="1"/>
  <c r="H113"/>
  <c r="C42" i="85"/>
  <c r="S36"/>
  <c r="T36" s="1"/>
  <c r="W36" s="1"/>
  <c r="D35"/>
  <c r="J118" i="84"/>
  <c r="J123" s="1"/>
  <c r="M39" i="85"/>
  <c r="S38"/>
  <c r="K35"/>
  <c r="G273" i="84" l="1"/>
  <c r="G119"/>
  <c r="G120" s="1"/>
  <c r="H39" i="85"/>
  <c r="J38"/>
  <c r="J39" s="1"/>
  <c r="F35"/>
  <c r="I35"/>
  <c r="I37" s="1"/>
  <c r="I42" s="1"/>
  <c r="P118" i="84"/>
  <c r="P123" s="1"/>
  <c r="M113"/>
  <c r="O118"/>
  <c r="H35" i="85"/>
  <c r="H37" s="1"/>
  <c r="K37"/>
  <c r="K42" s="1"/>
  <c r="S39"/>
  <c r="D37"/>
  <c r="D42" s="1"/>
  <c r="L23" l="1"/>
  <c r="J270" i="84"/>
  <c r="L27" i="85"/>
  <c r="L28"/>
  <c r="E19" i="70"/>
  <c r="C23"/>
  <c r="T38" i="85"/>
  <c r="W38" s="1"/>
  <c r="G113" i="84"/>
  <c r="K118"/>
  <c r="K123" s="1"/>
  <c r="H116"/>
  <c r="E35" i="85"/>
  <c r="M35"/>
  <c r="H274" i="84"/>
  <c r="R28" i="85" l="1"/>
  <c r="L24"/>
  <c r="L270" i="84"/>
  <c r="F27" i="85"/>
  <c r="O28"/>
  <c r="Q23"/>
  <c r="F28"/>
  <c r="H23"/>
  <c r="H27"/>
  <c r="N27"/>
  <c r="I27"/>
  <c r="P270" i="84"/>
  <c r="I23" i="85"/>
  <c r="E20" i="70"/>
  <c r="F20" s="1"/>
  <c r="H20" s="1"/>
  <c r="C138" i="65"/>
  <c r="H138" s="1"/>
  <c r="C241"/>
  <c r="H241" s="1"/>
  <c r="C183"/>
  <c r="H183" s="1"/>
  <c r="T39" i="85"/>
  <c r="E22" i="70"/>
  <c r="B21"/>
  <c r="C18"/>
  <c r="C158" i="65"/>
  <c r="H158" s="1"/>
  <c r="F23" i="70"/>
  <c r="H23" s="1"/>
  <c r="C21"/>
  <c r="F19"/>
  <c r="H19" s="1"/>
  <c r="E226" i="65"/>
  <c r="C136"/>
  <c r="H136" s="1"/>
  <c r="K283" i="84"/>
  <c r="M40" i="85"/>
  <c r="P279" i="84"/>
  <c r="P284" s="1"/>
  <c r="Q35" i="85"/>
  <c r="Q37" s="1"/>
  <c r="Q42" s="1"/>
  <c r="N277" i="84"/>
  <c r="W39" i="85"/>
  <c r="E37"/>
  <c r="E42" s="1"/>
  <c r="G116" i="84"/>
  <c r="G274"/>
  <c r="C131" i="65" l="1"/>
  <c r="H131" s="1"/>
  <c r="C130"/>
  <c r="H130" s="1"/>
  <c r="C135"/>
  <c r="H135" s="1"/>
  <c r="C175"/>
  <c r="H175" s="1"/>
  <c r="R26" i="85"/>
  <c r="C81" i="65"/>
  <c r="H81" s="1"/>
  <c r="C174"/>
  <c r="H174" s="1"/>
  <c r="F24" i="85"/>
  <c r="R23"/>
  <c r="P28"/>
  <c r="M270" i="84"/>
  <c r="Q270"/>
  <c r="M96"/>
  <c r="Q27" i="85"/>
  <c r="N268" i="84"/>
  <c r="E23" i="85"/>
  <c r="D23"/>
  <c r="N28"/>
  <c r="E28"/>
  <c r="N23"/>
  <c r="O27"/>
  <c r="N257" i="84"/>
  <c r="M104"/>
  <c r="M103"/>
  <c r="E27" i="85"/>
  <c r="D28"/>
  <c r="N22"/>
  <c r="L30"/>
  <c r="L31" s="1"/>
  <c r="H28"/>
  <c r="G28"/>
  <c r="I28"/>
  <c r="N267" i="84"/>
  <c r="Q22" i="85"/>
  <c r="C27"/>
  <c r="Q28"/>
  <c r="P27"/>
  <c r="F23"/>
  <c r="I24"/>
  <c r="M23"/>
  <c r="M27"/>
  <c r="J258" i="84"/>
  <c r="O23" i="85"/>
  <c r="D27"/>
  <c r="C145" i="65"/>
  <c r="H145" s="1"/>
  <c r="G23" i="85"/>
  <c r="C126" i="65"/>
  <c r="H126" s="1"/>
  <c r="E17" i="70"/>
  <c r="C184" i="65"/>
  <c r="H184" s="1"/>
  <c r="M106" i="84"/>
  <c r="C173" i="65"/>
  <c r="H173" s="1"/>
  <c r="C128"/>
  <c r="H128" s="1"/>
  <c r="C186"/>
  <c r="H186" s="1"/>
  <c r="C141"/>
  <c r="H141" s="1"/>
  <c r="C127"/>
  <c r="H127" s="1"/>
  <c r="C143"/>
  <c r="H143" s="1"/>
  <c r="M105" i="84"/>
  <c r="C140" i="65"/>
  <c r="H140" s="1"/>
  <c r="C114"/>
  <c r="H114" s="1"/>
  <c r="C39"/>
  <c r="H39" s="1"/>
  <c r="E123"/>
  <c r="B17" i="70"/>
  <c r="B26" s="1"/>
  <c r="C167" i="65"/>
  <c r="H167" s="1"/>
  <c r="C129"/>
  <c r="H129" s="1"/>
  <c r="C168"/>
  <c r="H168" s="1"/>
  <c r="R27" i="85"/>
  <c r="C163" i="65"/>
  <c r="H163" s="1"/>
  <c r="C155"/>
  <c r="H155" s="1"/>
  <c r="C190"/>
  <c r="H190" s="1"/>
  <c r="C171"/>
  <c r="H171" s="1"/>
  <c r="C182"/>
  <c r="H182" s="1"/>
  <c r="C15"/>
  <c r="H15" s="1"/>
  <c r="C169"/>
  <c r="H169" s="1"/>
  <c r="C157"/>
  <c r="H157" s="1"/>
  <c r="C154"/>
  <c r="H154" s="1"/>
  <c r="C137"/>
  <c r="H137" s="1"/>
  <c r="C172"/>
  <c r="H172" s="1"/>
  <c r="C134"/>
  <c r="H134" s="1"/>
  <c r="C142"/>
  <c r="H142" s="1"/>
  <c r="C164"/>
  <c r="H164" s="1"/>
  <c r="C187"/>
  <c r="H187" s="1"/>
  <c r="C125"/>
  <c r="H125" s="1"/>
  <c r="C191"/>
  <c r="H191" s="1"/>
  <c r="C119"/>
  <c r="H119" s="1"/>
  <c r="H282" i="84"/>
  <c r="H283" s="1"/>
  <c r="F34" i="85"/>
  <c r="H117" i="84"/>
  <c r="L118"/>
  <c r="C63" i="65"/>
  <c r="H63" s="1"/>
  <c r="C28" i="85"/>
  <c r="C20" i="65"/>
  <c r="H20" s="1"/>
  <c r="E12"/>
  <c r="E11" s="1"/>
  <c r="C48"/>
  <c r="H48" s="1"/>
  <c r="C22"/>
  <c r="H22" s="1"/>
  <c r="C62"/>
  <c r="H62" s="1"/>
  <c r="M114" i="84"/>
  <c r="G35" i="85"/>
  <c r="N118" i="84"/>
  <c r="N123" s="1"/>
  <c r="C37" i="65"/>
  <c r="H37" s="1"/>
  <c r="F51"/>
  <c r="C42"/>
  <c r="H42" s="1"/>
  <c r="E159"/>
  <c r="N275" i="84"/>
  <c r="G275" s="1"/>
  <c r="Q279"/>
  <c r="R35" i="85"/>
  <c r="R37" s="1"/>
  <c r="C31" i="65"/>
  <c r="H31" s="1"/>
  <c r="F58"/>
  <c r="C60"/>
  <c r="H60" s="1"/>
  <c r="E146"/>
  <c r="C18"/>
  <c r="H18" s="1"/>
  <c r="F165"/>
  <c r="G27" i="85"/>
  <c r="M99" i="84"/>
  <c r="F226" i="65"/>
  <c r="C38"/>
  <c r="H38" s="1"/>
  <c r="C78"/>
  <c r="H78" s="1"/>
  <c r="E21" i="70"/>
  <c r="F22"/>
  <c r="N40" i="85"/>
  <c r="N41" s="1"/>
  <c r="L283" i="84"/>
  <c r="D226" i="65"/>
  <c r="G24" i="85"/>
  <c r="M94" i="84"/>
  <c r="C36" i="65"/>
  <c r="H36" s="1"/>
  <c r="F123"/>
  <c r="C121"/>
  <c r="H121" s="1"/>
  <c r="H40" i="85"/>
  <c r="H41" s="1"/>
  <c r="H42" s="1"/>
  <c r="O122" i="84"/>
  <c r="O123" s="1"/>
  <c r="M121"/>
  <c r="M122" s="1"/>
  <c r="C23" i="65"/>
  <c r="H23" s="1"/>
  <c r="C56"/>
  <c r="H56" s="1"/>
  <c r="C80"/>
  <c r="H80" s="1"/>
  <c r="C77"/>
  <c r="H77" s="1"/>
  <c r="C66"/>
  <c r="H66" s="1"/>
  <c r="F12"/>
  <c r="F11" s="1"/>
  <c r="C85"/>
  <c r="H85" s="1"/>
  <c r="C21"/>
  <c r="H21" s="1"/>
  <c r="C27"/>
  <c r="H27" s="1"/>
  <c r="C19"/>
  <c r="H19" s="1"/>
  <c r="C14"/>
  <c r="H14" s="1"/>
  <c r="F146"/>
  <c r="C69"/>
  <c r="H69" s="1"/>
  <c r="C23" i="85"/>
  <c r="C43" i="65"/>
  <c r="H43" s="1"/>
  <c r="C67"/>
  <c r="H67" s="1"/>
  <c r="C49"/>
  <c r="H49" s="1"/>
  <c r="C153"/>
  <c r="H153" s="1"/>
  <c r="L122" i="84"/>
  <c r="H121"/>
  <c r="F40" i="85"/>
  <c r="O279" i="84"/>
  <c r="P35" i="85"/>
  <c r="P37" s="1"/>
  <c r="E150" i="65"/>
  <c r="C17"/>
  <c r="H17" s="1"/>
  <c r="C16"/>
  <c r="H16" s="1"/>
  <c r="E242"/>
  <c r="P23" i="85"/>
  <c r="C35" i="65"/>
  <c r="H35" s="1"/>
  <c r="C84"/>
  <c r="H84" s="1"/>
  <c r="E64"/>
  <c r="P40" i="85"/>
  <c r="P41" s="1"/>
  <c r="N282" i="84"/>
  <c r="N283" s="1"/>
  <c r="O283"/>
  <c r="C17" i="70"/>
  <c r="C26" s="1"/>
  <c r="F18"/>
  <c r="O40" i="85"/>
  <c r="O41" s="1"/>
  <c r="O42" s="1"/>
  <c r="M283" i="84"/>
  <c r="M284" s="1"/>
  <c r="C29" i="65"/>
  <c r="H29" s="1"/>
  <c r="C46"/>
  <c r="H46" s="1"/>
  <c r="C53"/>
  <c r="H53" s="1"/>
  <c r="C144"/>
  <c r="H144" s="1"/>
  <c r="F150"/>
  <c r="C156"/>
  <c r="H156" s="1"/>
  <c r="Q283" i="84"/>
  <c r="R40" i="85"/>
  <c r="R41" s="1"/>
  <c r="F44" i="65"/>
  <c r="F64"/>
  <c r="C34"/>
  <c r="H34" s="1"/>
  <c r="C61"/>
  <c r="H61" s="1"/>
  <c r="C28"/>
  <c r="H28" s="1"/>
  <c r="E58"/>
  <c r="M41" i="85"/>
  <c r="H267" i="84" l="1"/>
  <c r="G267" s="1"/>
  <c r="H108"/>
  <c r="N269"/>
  <c r="N270" s="1"/>
  <c r="N255"/>
  <c r="P24" i="85"/>
  <c r="N261" i="84"/>
  <c r="C113" i="65"/>
  <c r="H113" s="1"/>
  <c r="N264" i="84"/>
  <c r="H96"/>
  <c r="G96" s="1"/>
  <c r="H24" i="85"/>
  <c r="H106" i="84"/>
  <c r="G106" s="1"/>
  <c r="R24" i="85"/>
  <c r="O270" i="84"/>
  <c r="H257"/>
  <c r="G257" s="1"/>
  <c r="E24" i="85"/>
  <c r="M107" i="84"/>
  <c r="D24" i="85"/>
  <c r="N254" i="84"/>
  <c r="R30" i="85"/>
  <c r="R31" s="1"/>
  <c r="H100" i="84"/>
  <c r="H93"/>
  <c r="P258"/>
  <c r="L22" i="85"/>
  <c r="L25" s="1"/>
  <c r="J27"/>
  <c r="H99" i="84"/>
  <c r="G99" s="1"/>
  <c r="N256"/>
  <c r="M24" i="85"/>
  <c r="C24"/>
  <c r="H94" i="84"/>
  <c r="G94" s="1"/>
  <c r="H104"/>
  <c r="G104" s="1"/>
  <c r="H103"/>
  <c r="G103" s="1"/>
  <c r="N24" i="85"/>
  <c r="N25" s="1"/>
  <c r="N266" i="84"/>
  <c r="M100"/>
  <c r="L258"/>
  <c r="H256"/>
  <c r="O24" i="85"/>
  <c r="H95" i="84"/>
  <c r="M108"/>
  <c r="H264"/>
  <c r="N265"/>
  <c r="H105"/>
  <c r="G105" s="1"/>
  <c r="Q24" i="85"/>
  <c r="Q25" s="1"/>
  <c r="P101" i="84"/>
  <c r="P97"/>
  <c r="H266"/>
  <c r="N253"/>
  <c r="H107"/>
  <c r="M28" i="85"/>
  <c r="N26"/>
  <c r="N29" s="1"/>
  <c r="Q26"/>
  <c r="Q29" s="1"/>
  <c r="F30"/>
  <c r="F31" s="1"/>
  <c r="M26"/>
  <c r="L101" i="84"/>
  <c r="L97"/>
  <c r="M95"/>
  <c r="I30" i="85"/>
  <c r="I31" s="1"/>
  <c r="K270" i="84"/>
  <c r="N30" i="85"/>
  <c r="N31" s="1"/>
  <c r="M258" i="84"/>
  <c r="K23" i="85"/>
  <c r="S23" s="1"/>
  <c r="J262" i="84"/>
  <c r="J271" s="1"/>
  <c r="L26" i="85"/>
  <c r="L29" s="1"/>
  <c r="H22"/>
  <c r="H30"/>
  <c r="H31" s="1"/>
  <c r="G30"/>
  <c r="G31" s="1"/>
  <c r="M262" i="84"/>
  <c r="O30" i="85"/>
  <c r="O31" s="1"/>
  <c r="O101" i="84"/>
  <c r="M93"/>
  <c r="F116" i="65"/>
  <c r="E26" i="70"/>
  <c r="C47" i="65"/>
  <c r="H47" s="1"/>
  <c r="C122"/>
  <c r="H122" s="1"/>
  <c r="E44"/>
  <c r="C188"/>
  <c r="H188" s="1"/>
  <c r="F242"/>
  <c r="E165"/>
  <c r="E149" s="1"/>
  <c r="C181"/>
  <c r="H181" s="1"/>
  <c r="H268" i="84"/>
  <c r="G268" s="1"/>
  <c r="E51" i="65"/>
  <c r="E50" s="1"/>
  <c r="C54"/>
  <c r="H54" s="1"/>
  <c r="P30" i="85"/>
  <c r="P31" s="1"/>
  <c r="C189" i="65"/>
  <c r="H189" s="1"/>
  <c r="R29" i="85"/>
  <c r="N260" i="84"/>
  <c r="Q262"/>
  <c r="H265"/>
  <c r="C68" i="65"/>
  <c r="H68" s="1"/>
  <c r="C120"/>
  <c r="H120" s="1"/>
  <c r="N279" i="84"/>
  <c r="N284" s="1"/>
  <c r="F50" i="65"/>
  <c r="J28" i="85"/>
  <c r="E132" i="65"/>
  <c r="G282" i="84"/>
  <c r="G283" s="1"/>
  <c r="S40" i="85"/>
  <c r="S41" s="1"/>
  <c r="O284" i="84"/>
  <c r="C185" i="65"/>
  <c r="H185" s="1"/>
  <c r="E25"/>
  <c r="P22" i="85"/>
  <c r="O258" i="84"/>
  <c r="H122"/>
  <c r="G121"/>
  <c r="G122" s="1"/>
  <c r="J23" i="85"/>
  <c r="F32" i="65"/>
  <c r="H22" i="70"/>
  <c r="F21"/>
  <c r="H21" s="1"/>
  <c r="H255" i="84"/>
  <c r="K24" i="85"/>
  <c r="Q30"/>
  <c r="Q31" s="1"/>
  <c r="N263" i="84"/>
  <c r="C82" i="65"/>
  <c r="H82" s="1"/>
  <c r="F41" i="85"/>
  <c r="J40"/>
  <c r="J41" s="1"/>
  <c r="E223" i="65"/>
  <c r="G114" i="84"/>
  <c r="M118"/>
  <c r="M123" s="1"/>
  <c r="D242" i="65"/>
  <c r="J34" i="85"/>
  <c r="F37"/>
  <c r="E116" i="65"/>
  <c r="F132"/>
  <c r="Q284" i="84"/>
  <c r="K27" i="85"/>
  <c r="S27" s="1"/>
  <c r="H260" i="84"/>
  <c r="C75" i="65"/>
  <c r="H75" s="1"/>
  <c r="F110"/>
  <c r="P26" i="85"/>
  <c r="P29" s="1"/>
  <c r="O262" i="84"/>
  <c r="I270"/>
  <c r="G37" i="85"/>
  <c r="G42" s="1"/>
  <c r="J35"/>
  <c r="F223" i="65"/>
  <c r="G117" i="84"/>
  <c r="H118"/>
  <c r="P42" i="85"/>
  <c r="R42"/>
  <c r="C55" i="65"/>
  <c r="H55" s="1"/>
  <c r="C52"/>
  <c r="F17" i="70"/>
  <c r="H18"/>
  <c r="D146" i="65"/>
  <c r="C148"/>
  <c r="C30"/>
  <c r="H30" s="1"/>
  <c r="K28" i="85"/>
  <c r="N35"/>
  <c r="L279" i="84"/>
  <c r="L284" s="1"/>
  <c r="H277"/>
  <c r="M34" i="85"/>
  <c r="H278" i="84"/>
  <c r="G278" s="1"/>
  <c r="K279"/>
  <c r="K284" s="1"/>
  <c r="L123"/>
  <c r="M271" l="1"/>
  <c r="G26" i="85"/>
  <c r="G29" s="1"/>
  <c r="P25"/>
  <c r="P32" s="1"/>
  <c r="I22"/>
  <c r="I25" s="1"/>
  <c r="O22"/>
  <c r="O25" s="1"/>
  <c r="H261" i="84"/>
  <c r="G261" s="1"/>
  <c r="G255"/>
  <c r="H25" i="85"/>
  <c r="T27"/>
  <c r="W27" s="1"/>
  <c r="G264" i="84"/>
  <c r="G108"/>
  <c r="J24" i="85"/>
  <c r="G100" i="84"/>
  <c r="L109"/>
  <c r="L110" s="1"/>
  <c r="G107"/>
  <c r="K262"/>
  <c r="H26" i="85"/>
  <c r="H29" s="1"/>
  <c r="O109" i="84"/>
  <c r="F22" i="85"/>
  <c r="F25" s="1"/>
  <c r="G265" i="84"/>
  <c r="L32" i="85"/>
  <c r="N258" i="84"/>
  <c r="G93"/>
  <c r="G266"/>
  <c r="G256"/>
  <c r="H254"/>
  <c r="G254" s="1"/>
  <c r="I26" i="85"/>
  <c r="I29" s="1"/>
  <c r="N259" i="84"/>
  <c r="N262" s="1"/>
  <c r="H269"/>
  <c r="H270" s="1"/>
  <c r="P262"/>
  <c r="P271" s="1"/>
  <c r="M29" i="85"/>
  <c r="S28"/>
  <c r="T28" s="1"/>
  <c r="W28" s="1"/>
  <c r="P109" i="84"/>
  <c r="P110" s="1"/>
  <c r="G95"/>
  <c r="S24" i="85"/>
  <c r="M30"/>
  <c r="M31" s="1"/>
  <c r="N109" i="84"/>
  <c r="M102"/>
  <c r="M109" s="1"/>
  <c r="F26" i="85"/>
  <c r="F29" s="1"/>
  <c r="O97" i="84"/>
  <c r="R22" i="85"/>
  <c r="R25" s="1"/>
  <c r="R32" s="1"/>
  <c r="Q258" i="84"/>
  <c r="Q271" s="1"/>
  <c r="D22" i="85"/>
  <c r="D25" s="1"/>
  <c r="J109" i="84"/>
  <c r="E22" i="85"/>
  <c r="E25" s="1"/>
  <c r="D26"/>
  <c r="D29" s="1"/>
  <c r="E30"/>
  <c r="E31" s="1"/>
  <c r="M22"/>
  <c r="M25" s="1"/>
  <c r="L262" i="84"/>
  <c r="L271" s="1"/>
  <c r="N32" i="85"/>
  <c r="I101" i="84"/>
  <c r="O26" i="85"/>
  <c r="O29" s="1"/>
  <c r="K101" i="84"/>
  <c r="F25" i="65"/>
  <c r="F10" s="1"/>
  <c r="F70" s="1"/>
  <c r="E64" i="70"/>
  <c r="Q32" i="85"/>
  <c r="C239" i="65"/>
  <c r="I26" i="70" s="1"/>
  <c r="J26" s="1"/>
  <c r="D110" i="65"/>
  <c r="F227"/>
  <c r="F225" s="1"/>
  <c r="E32"/>
  <c r="E10" s="1"/>
  <c r="E70" s="1"/>
  <c r="C41"/>
  <c r="H41" s="1"/>
  <c r="G260" i="84"/>
  <c r="C83" i="65"/>
  <c r="H83" s="1"/>
  <c r="E215"/>
  <c r="E94"/>
  <c r="E88" s="1"/>
  <c r="E87" s="1"/>
  <c r="E86" s="1"/>
  <c r="C226"/>
  <c r="H226" s="1"/>
  <c r="T40" i="85"/>
  <c r="W40" s="1"/>
  <c r="H123" i="84"/>
  <c r="J37" i="85"/>
  <c r="J42" s="1"/>
  <c r="F109" i="65"/>
  <c r="F42" i="85"/>
  <c r="F159" i="65"/>
  <c r="F149" s="1"/>
  <c r="C161"/>
  <c r="K30" i="85"/>
  <c r="H263" i="84"/>
  <c r="G263" s="1"/>
  <c r="N37" i="85"/>
  <c r="N42" s="1"/>
  <c r="S35"/>
  <c r="T35" s="1"/>
  <c r="W35" s="1"/>
  <c r="I262" i="84"/>
  <c r="K26" i="85"/>
  <c r="H259" i="84"/>
  <c r="C133" i="65"/>
  <c r="D132"/>
  <c r="C30" i="85"/>
  <c r="I109" i="84"/>
  <c r="C152" i="65"/>
  <c r="D150"/>
  <c r="K22" i="85"/>
  <c r="I258" i="84"/>
  <c r="C74" i="65"/>
  <c r="H74" s="1"/>
  <c r="C124"/>
  <c r="D123"/>
  <c r="C166"/>
  <c r="D165"/>
  <c r="D227"/>
  <c r="D225" s="1"/>
  <c r="D179"/>
  <c r="D178" s="1"/>
  <c r="D177" s="1"/>
  <c r="D207" s="1"/>
  <c r="N97" i="84"/>
  <c r="G22" i="85"/>
  <c r="G25" s="1"/>
  <c r="M92" i="84"/>
  <c r="M97" s="1"/>
  <c r="T23" i="85"/>
  <c r="W23" s="1"/>
  <c r="C65" i="65"/>
  <c r="D64"/>
  <c r="H148"/>
  <c r="C146"/>
  <c r="H146" s="1"/>
  <c r="E179"/>
  <c r="E178" s="1"/>
  <c r="E177" s="1"/>
  <c r="E207" s="1"/>
  <c r="E227"/>
  <c r="E225" s="1"/>
  <c r="E110"/>
  <c r="E109" s="1"/>
  <c r="E176" s="1"/>
  <c r="H279" i="84"/>
  <c r="H284" s="1"/>
  <c r="G277"/>
  <c r="G279" s="1"/>
  <c r="G284" s="1"/>
  <c r="C162" i="65"/>
  <c r="H162" s="1"/>
  <c r="D159"/>
  <c r="H17" i="70"/>
  <c r="F26"/>
  <c r="H26" s="1"/>
  <c r="C51" i="65"/>
  <c r="H52"/>
  <c r="C13"/>
  <c r="D12"/>
  <c r="D11" s="1"/>
  <c r="D44"/>
  <c r="C45"/>
  <c r="D116"/>
  <c r="C118"/>
  <c r="C33"/>
  <c r="D32"/>
  <c r="D51"/>
  <c r="C40"/>
  <c r="H40" s="1"/>
  <c r="S34" i="85"/>
  <c r="M37"/>
  <c r="M42" s="1"/>
  <c r="C59" i="65"/>
  <c r="D58"/>
  <c r="G118" i="84"/>
  <c r="G123" s="1"/>
  <c r="O271"/>
  <c r="K109" l="1"/>
  <c r="N101"/>
  <c r="N110" s="1"/>
  <c r="M98"/>
  <c r="M101" s="1"/>
  <c r="M110" s="1"/>
  <c r="I32" i="85"/>
  <c r="G269" i="84"/>
  <c r="G270" s="1"/>
  <c r="H253"/>
  <c r="G253" s="1"/>
  <c r="G258" s="1"/>
  <c r="O32" i="85"/>
  <c r="H32"/>
  <c r="T24"/>
  <c r="W24" s="1"/>
  <c r="O110" i="84"/>
  <c r="F32" i="85"/>
  <c r="N271" i="84"/>
  <c r="J97"/>
  <c r="C26" i="85"/>
  <c r="C29" s="1"/>
  <c r="J101" i="84"/>
  <c r="E26" i="85"/>
  <c r="E29" s="1"/>
  <c r="E32" s="1"/>
  <c r="H92" i="84"/>
  <c r="H97" s="1"/>
  <c r="H98"/>
  <c r="H101" s="1"/>
  <c r="K97"/>
  <c r="H102"/>
  <c r="H109" s="1"/>
  <c r="M32" i="85"/>
  <c r="D30"/>
  <c r="D31" s="1"/>
  <c r="D32" s="1"/>
  <c r="I97" i="84"/>
  <c r="I110" s="1"/>
  <c r="K258"/>
  <c r="K271" s="1"/>
  <c r="C22" i="85"/>
  <c r="J22" s="1"/>
  <c r="J25" s="1"/>
  <c r="H239" i="65"/>
  <c r="C242"/>
  <c r="H242" s="1"/>
  <c r="F179"/>
  <c r="F178" s="1"/>
  <c r="F177" s="1"/>
  <c r="F207" s="1"/>
  <c r="C180"/>
  <c r="C179" s="1"/>
  <c r="W41" i="85"/>
  <c r="E231" i="65"/>
  <c r="E229" s="1"/>
  <c r="E228" s="1"/>
  <c r="T41" i="85"/>
  <c r="F214" i="65"/>
  <c r="Y42" i="85"/>
  <c r="E214" i="65"/>
  <c r="E213" s="1"/>
  <c r="E79"/>
  <c r="E73" s="1"/>
  <c r="E72" s="1"/>
  <c r="E71" s="1"/>
  <c r="E101" s="1"/>
  <c r="E102" s="1"/>
  <c r="F176"/>
  <c r="H33"/>
  <c r="C32"/>
  <c r="H32" s="1"/>
  <c r="H45"/>
  <c r="C44"/>
  <c r="H44" s="1"/>
  <c r="H65"/>
  <c r="C64"/>
  <c r="H64" s="1"/>
  <c r="S22" i="85"/>
  <c r="K25"/>
  <c r="H152" i="65"/>
  <c r="C150"/>
  <c r="K29" i="85"/>
  <c r="S26"/>
  <c r="D149" i="65"/>
  <c r="C58"/>
  <c r="H58" s="1"/>
  <c r="H59"/>
  <c r="T34" i="85"/>
  <c r="W34" s="1"/>
  <c r="S37"/>
  <c r="S42" s="1"/>
  <c r="Z42" s="1"/>
  <c r="H51" i="65"/>
  <c r="D25"/>
  <c r="D10" s="1"/>
  <c r="C26"/>
  <c r="H124"/>
  <c r="C123"/>
  <c r="H123" s="1"/>
  <c r="G259" i="84"/>
  <c r="G262" s="1"/>
  <c r="H262"/>
  <c r="F94" i="65"/>
  <c r="F215"/>
  <c r="G32" i="85"/>
  <c r="I271" i="84"/>
  <c r="D223" i="65"/>
  <c r="C76"/>
  <c r="C31" i="85"/>
  <c r="C132" i="65"/>
  <c r="H132" s="1"/>
  <c r="H133"/>
  <c r="H161"/>
  <c r="C159"/>
  <c r="H159" s="1"/>
  <c r="H118"/>
  <c r="C116"/>
  <c r="H116" s="1"/>
  <c r="H13"/>
  <c r="C12"/>
  <c r="H166"/>
  <c r="C165"/>
  <c r="H165" s="1"/>
  <c r="K31" i="85"/>
  <c r="S30"/>
  <c r="C112" i="65"/>
  <c r="D50"/>
  <c r="E208"/>
  <c r="D109"/>
  <c r="K110" i="84" l="1"/>
  <c r="H258"/>
  <c r="H271" s="1"/>
  <c r="G102"/>
  <c r="G109" s="1"/>
  <c r="G92"/>
  <c r="G97" s="1"/>
  <c r="J110"/>
  <c r="G98"/>
  <c r="G101" s="1"/>
  <c r="J26" i="85"/>
  <c r="J29" s="1"/>
  <c r="J30"/>
  <c r="J31" s="1"/>
  <c r="C25"/>
  <c r="C32" s="1"/>
  <c r="F208" i="65"/>
  <c r="F79"/>
  <c r="F224" s="1"/>
  <c r="F222" s="1"/>
  <c r="F221" s="1"/>
  <c r="C227"/>
  <c r="H227" s="1"/>
  <c r="H180"/>
  <c r="F213"/>
  <c r="E224"/>
  <c r="E222" s="1"/>
  <c r="E221" s="1"/>
  <c r="E220" s="1"/>
  <c r="D215"/>
  <c r="C50"/>
  <c r="H50" s="1"/>
  <c r="S29" i="85"/>
  <c r="G271" i="84"/>
  <c r="K32" i="85"/>
  <c r="C25" i="65"/>
  <c r="H25" s="1"/>
  <c r="H26"/>
  <c r="S25" i="85"/>
  <c r="T22"/>
  <c r="W22" s="1"/>
  <c r="H112" i="65"/>
  <c r="C110"/>
  <c r="F88"/>
  <c r="F87" s="1"/>
  <c r="F86" s="1"/>
  <c r="F231"/>
  <c r="F229" s="1"/>
  <c r="F228" s="1"/>
  <c r="D176"/>
  <c r="D208" s="1"/>
  <c r="D79"/>
  <c r="H76"/>
  <c r="C223"/>
  <c r="H223" s="1"/>
  <c r="S31" i="85"/>
  <c r="C11" i="65"/>
  <c r="H12"/>
  <c r="C178"/>
  <c r="H179"/>
  <c r="D214"/>
  <c r="D70"/>
  <c r="W37" i="85"/>
  <c r="W42" s="1"/>
  <c r="T37"/>
  <c r="T42" s="1"/>
  <c r="C149" i="65"/>
  <c r="H149" s="1"/>
  <c r="H150"/>
  <c r="D94"/>
  <c r="H110" i="84"/>
  <c r="I191" i="117"/>
  <c r="G110" i="84" l="1"/>
  <c r="T26" i="85"/>
  <c r="W26" s="1"/>
  <c r="W29" s="1"/>
  <c r="J32"/>
  <c r="T30"/>
  <c r="W30" s="1"/>
  <c r="W31" s="1"/>
  <c r="F220" i="65"/>
  <c r="F73"/>
  <c r="F72" s="1"/>
  <c r="F71" s="1"/>
  <c r="F101" s="1"/>
  <c r="F102" s="1"/>
  <c r="C225"/>
  <c r="H225" s="1"/>
  <c r="D213"/>
  <c r="D224"/>
  <c r="D222" s="1"/>
  <c r="D221" s="1"/>
  <c r="D73"/>
  <c r="D72" s="1"/>
  <c r="D71" s="1"/>
  <c r="C79"/>
  <c r="C177"/>
  <c r="H178"/>
  <c r="H110"/>
  <c r="C109"/>
  <c r="C215"/>
  <c r="H215" s="1"/>
  <c r="D88"/>
  <c r="D87" s="1"/>
  <c r="D86" s="1"/>
  <c r="C94"/>
  <c r="D231"/>
  <c r="D229" s="1"/>
  <c r="D228" s="1"/>
  <c r="S32" i="85"/>
  <c r="Z32" s="1"/>
  <c r="H11" i="65"/>
  <c r="C10"/>
  <c r="T25" i="85"/>
  <c r="W25"/>
  <c r="I190" i="117"/>
  <c r="I189" s="1"/>
  <c r="Y32" i="85" l="1"/>
  <c r="T29"/>
  <c r="T31"/>
  <c r="D220" i="65"/>
  <c r="W32" i="85"/>
  <c r="D101" i="65"/>
  <c r="D102" s="1"/>
  <c r="C176"/>
  <c r="H109"/>
  <c r="H79"/>
  <c r="C224"/>
  <c r="C73"/>
  <c r="C70"/>
  <c r="C214"/>
  <c r="H10"/>
  <c r="C231"/>
  <c r="H94"/>
  <c r="C88"/>
  <c r="H177"/>
  <c r="C207"/>
  <c r="G189" i="117"/>
  <c r="T32" i="85" l="1"/>
  <c r="H176" i="65"/>
  <c r="C208"/>
  <c r="H208" s="1"/>
  <c r="H207"/>
  <c r="H70"/>
  <c r="C72"/>
  <c r="H73"/>
  <c r="H231"/>
  <c r="C229"/>
  <c r="C87"/>
  <c r="H88"/>
  <c r="C213"/>
  <c r="H213" s="1"/>
  <c r="H214"/>
  <c r="H224"/>
  <c r="C222"/>
  <c r="H222" l="1"/>
  <c r="C221"/>
  <c r="C228"/>
  <c r="H228" s="1"/>
  <c r="H229"/>
  <c r="H87"/>
  <c r="C86"/>
  <c r="H86" s="1"/>
  <c r="C71"/>
  <c r="H72"/>
  <c r="H221" l="1"/>
  <c r="C220"/>
  <c r="H220" s="1"/>
  <c r="C101"/>
  <c r="H71"/>
  <c r="H101" l="1"/>
  <c r="C102"/>
  <c r="H102" s="1"/>
  <c r="E73" i="70" l="1"/>
  <c r="F73" s="1"/>
  <c r="H73" s="1"/>
  <c r="E74" l="1"/>
  <c r="F74" s="1"/>
  <c r="H74" s="1"/>
  <c r="L7" i="85" l="1"/>
  <c r="L9"/>
  <c r="L8"/>
  <c r="B71" i="70"/>
  <c r="B75" s="1"/>
  <c r="B77" s="1"/>
  <c r="E72"/>
  <c r="L10" i="85" l="1"/>
  <c r="L13"/>
  <c r="L12"/>
  <c r="L16"/>
  <c r="L11"/>
  <c r="R9"/>
  <c r="O7"/>
  <c r="I8"/>
  <c r="H7"/>
  <c r="H8"/>
  <c r="N7"/>
  <c r="I9"/>
  <c r="N8"/>
  <c r="H9"/>
  <c r="F7"/>
  <c r="J248" i="84"/>
  <c r="I7" i="85"/>
  <c r="Q7"/>
  <c r="F9"/>
  <c r="N9"/>
  <c r="L46"/>
  <c r="Q8"/>
  <c r="O8"/>
  <c r="R7"/>
  <c r="J250" i="84"/>
  <c r="R8" i="85"/>
  <c r="Q9"/>
  <c r="F8"/>
  <c r="O9"/>
  <c r="E241" i="61"/>
  <c r="D9" i="72"/>
  <c r="D40" i="70"/>
  <c r="F40" s="1"/>
  <c r="H40" s="1"/>
  <c r="C241" i="64"/>
  <c r="E71" i="70"/>
  <c r="E75" s="1"/>
  <c r="F72"/>
  <c r="F241" i="61"/>
  <c r="C10" i="70"/>
  <c r="B9"/>
  <c r="B15" s="1"/>
  <c r="M43" i="84"/>
  <c r="D39" i="70"/>
  <c r="F39" s="1"/>
  <c r="H39" s="1"/>
  <c r="C241" i="67"/>
  <c r="H241" s="1"/>
  <c r="C13" i="90"/>
  <c r="O10" i="85" l="1"/>
  <c r="M22" i="84"/>
  <c r="N235"/>
  <c r="M17"/>
  <c r="N211"/>
  <c r="N240"/>
  <c r="M25"/>
  <c r="M63"/>
  <c r="N199"/>
  <c r="N184"/>
  <c r="M15"/>
  <c r="N178"/>
  <c r="L15" i="85"/>
  <c r="L17" s="1"/>
  <c r="N227" i="84"/>
  <c r="M76"/>
  <c r="N246"/>
  <c r="F175" i="61"/>
  <c r="N186" i="84"/>
  <c r="N229"/>
  <c r="M77"/>
  <c r="N177"/>
  <c r="M38"/>
  <c r="N210"/>
  <c r="M69"/>
  <c r="Q16" i="85"/>
  <c r="N174" i="84"/>
  <c r="F10" i="85"/>
  <c r="N182" i="84"/>
  <c r="M70"/>
  <c r="N200"/>
  <c r="N176"/>
  <c r="N208"/>
  <c r="M65"/>
  <c r="N244"/>
  <c r="M13"/>
  <c r="N192"/>
  <c r="E142" i="61"/>
  <c r="M10" i="84"/>
  <c r="N220"/>
  <c r="N202"/>
  <c r="N214"/>
  <c r="M49"/>
  <c r="M14"/>
  <c r="M72"/>
  <c r="M32"/>
  <c r="M35"/>
  <c r="M47"/>
  <c r="M46"/>
  <c r="M23"/>
  <c r="M11"/>
  <c r="N185"/>
  <c r="M58"/>
  <c r="N224"/>
  <c r="M31"/>
  <c r="N221"/>
  <c r="M74"/>
  <c r="N206"/>
  <c r="M61"/>
  <c r="M19"/>
  <c r="M79"/>
  <c r="N237"/>
  <c r="M86"/>
  <c r="N191"/>
  <c r="F16" i="85"/>
  <c r="M55" i="84"/>
  <c r="N187"/>
  <c r="M50"/>
  <c r="M62"/>
  <c r="M66"/>
  <c r="N228"/>
  <c r="N201"/>
  <c r="M51"/>
  <c r="N215"/>
  <c r="N171"/>
  <c r="M39"/>
  <c r="N223"/>
  <c r="N203"/>
  <c r="N179"/>
  <c r="H16" i="85"/>
  <c r="N245" i="84"/>
  <c r="M48"/>
  <c r="M45"/>
  <c r="M41"/>
  <c r="M83"/>
  <c r="M53"/>
  <c r="M75"/>
  <c r="M64"/>
  <c r="M30"/>
  <c r="M20"/>
  <c r="N10" i="85"/>
  <c r="N239" i="84"/>
  <c r="H12" i="85"/>
  <c r="N11"/>
  <c r="M68" i="84"/>
  <c r="N196"/>
  <c r="H11" i="85"/>
  <c r="O16"/>
  <c r="I16"/>
  <c r="R11"/>
  <c r="F11"/>
  <c r="M54" i="84"/>
  <c r="M85"/>
  <c r="N226"/>
  <c r="N236"/>
  <c r="M78"/>
  <c r="M18"/>
  <c r="N207"/>
  <c r="N222"/>
  <c r="F163" i="61"/>
  <c r="M26" i="84"/>
  <c r="N180"/>
  <c r="N172"/>
  <c r="M57"/>
  <c r="L18" i="85"/>
  <c r="L19" s="1"/>
  <c r="N204" i="84"/>
  <c r="N225"/>
  <c r="N216"/>
  <c r="M29"/>
  <c r="N209"/>
  <c r="N218"/>
  <c r="N193"/>
  <c r="M21"/>
  <c r="M37"/>
  <c r="M40"/>
  <c r="N238"/>
  <c r="M44"/>
  <c r="M71"/>
  <c r="R10" i="85"/>
  <c r="H10"/>
  <c r="R16"/>
  <c r="O11"/>
  <c r="L45"/>
  <c r="Q10"/>
  <c r="N13"/>
  <c r="R12"/>
  <c r="I13"/>
  <c r="I11"/>
  <c r="Q13"/>
  <c r="R13"/>
  <c r="O12"/>
  <c r="I10"/>
  <c r="F12"/>
  <c r="H13"/>
  <c r="N16"/>
  <c r="Q12"/>
  <c r="O13"/>
  <c r="Q11"/>
  <c r="I12"/>
  <c r="F13"/>
  <c r="N12"/>
  <c r="N232" i="84"/>
  <c r="N175"/>
  <c r="N181"/>
  <c r="N183"/>
  <c r="N234"/>
  <c r="M24"/>
  <c r="M73"/>
  <c r="M59"/>
  <c r="N230"/>
  <c r="M52"/>
  <c r="M42"/>
  <c r="M67"/>
  <c r="M84"/>
  <c r="N197"/>
  <c r="M28"/>
  <c r="N213"/>
  <c r="N212"/>
  <c r="N189"/>
  <c r="N219"/>
  <c r="M16"/>
  <c r="N205"/>
  <c r="N233"/>
  <c r="N231"/>
  <c r="E173" i="61"/>
  <c r="N190" i="84"/>
  <c r="M36"/>
  <c r="N198"/>
  <c r="N247"/>
  <c r="M60"/>
  <c r="Q46" i="85"/>
  <c r="I46"/>
  <c r="M7"/>
  <c r="E9"/>
  <c r="D8"/>
  <c r="E8"/>
  <c r="J291" i="84"/>
  <c r="L50" i="85"/>
  <c r="L51" s="1"/>
  <c r="E7"/>
  <c r="H176" i="84"/>
  <c r="H46" i="85"/>
  <c r="R15"/>
  <c r="L48"/>
  <c r="L49" s="1"/>
  <c r="H55" i="84"/>
  <c r="H49"/>
  <c r="D7" i="85"/>
  <c r="Q250" i="84"/>
  <c r="R46" i="85"/>
  <c r="N46"/>
  <c r="M9"/>
  <c r="M8"/>
  <c r="L250" i="84"/>
  <c r="H48"/>
  <c r="O46" i="85"/>
  <c r="N15"/>
  <c r="D9"/>
  <c r="P248" i="84"/>
  <c r="F46" i="85"/>
  <c r="Q18"/>
  <c r="Q19" s="1"/>
  <c r="E140" i="61"/>
  <c r="E145"/>
  <c r="E182"/>
  <c r="J23" i="68" s="1"/>
  <c r="E138" i="61"/>
  <c r="F125"/>
  <c r="F172"/>
  <c r="F158"/>
  <c r="E134"/>
  <c r="C10" i="90"/>
  <c r="F186" i="61"/>
  <c r="K27" i="68" s="1"/>
  <c r="E171" i="61"/>
  <c r="E164"/>
  <c r="F191"/>
  <c r="K32" i="68" s="1"/>
  <c r="E175" i="61"/>
  <c r="F154"/>
  <c r="F162"/>
  <c r="E131"/>
  <c r="F144"/>
  <c r="E167"/>
  <c r="E168"/>
  <c r="F143"/>
  <c r="F153"/>
  <c r="E137"/>
  <c r="C14" i="72"/>
  <c r="C15" s="1"/>
  <c r="C37" s="1"/>
  <c r="C40" i="90" s="1"/>
  <c r="E157" i="61"/>
  <c r="F134"/>
  <c r="F183"/>
  <c r="K24" i="68" s="1"/>
  <c r="F173" i="61"/>
  <c r="F129"/>
  <c r="E158"/>
  <c r="E125"/>
  <c r="C155" i="64"/>
  <c r="H155" s="1"/>
  <c r="C168"/>
  <c r="H168" s="1"/>
  <c r="C11" i="90"/>
  <c r="U10" i="72"/>
  <c r="E226" i="67"/>
  <c r="C127"/>
  <c r="H127" s="1"/>
  <c r="C129"/>
  <c r="H129" s="1"/>
  <c r="C114" i="64"/>
  <c r="H114" s="1"/>
  <c r="C114" i="67"/>
  <c r="H114" s="1"/>
  <c r="C142"/>
  <c r="H142" s="1"/>
  <c r="C157"/>
  <c r="H157" s="1"/>
  <c r="C131" i="64"/>
  <c r="H131" s="1"/>
  <c r="E163" i="61"/>
  <c r="F136"/>
  <c r="F126"/>
  <c r="F15"/>
  <c r="F155"/>
  <c r="E141"/>
  <c r="F140"/>
  <c r="C187" i="67"/>
  <c r="H187" s="1"/>
  <c r="C175" i="64"/>
  <c r="H175" s="1"/>
  <c r="N170" i="84"/>
  <c r="P12" i="85"/>
  <c r="C137" i="67"/>
  <c r="H137" s="1"/>
  <c r="F226"/>
  <c r="C190" i="64"/>
  <c r="H190" s="1"/>
  <c r="C164" i="67"/>
  <c r="H164" s="1"/>
  <c r="C126"/>
  <c r="H126" s="1"/>
  <c r="C162" i="64"/>
  <c r="H162" s="1"/>
  <c r="C173" i="67"/>
  <c r="H173" s="1"/>
  <c r="M12" i="84"/>
  <c r="G7" i="85"/>
  <c r="C191" i="67"/>
  <c r="H191" s="1"/>
  <c r="C137" i="64"/>
  <c r="H137" s="1"/>
  <c r="C162" i="67"/>
  <c r="H162" s="1"/>
  <c r="C163"/>
  <c r="H163" s="1"/>
  <c r="C156"/>
  <c r="H156" s="1"/>
  <c r="C15"/>
  <c r="H15" s="1"/>
  <c r="C183"/>
  <c r="H183" s="1"/>
  <c r="F128" i="61"/>
  <c r="F137"/>
  <c r="E126"/>
  <c r="F157"/>
  <c r="E156"/>
  <c r="E172"/>
  <c r="F142"/>
  <c r="F130"/>
  <c r="F187"/>
  <c r="K28" i="68" s="1"/>
  <c r="C183" i="64"/>
  <c r="H183" s="1"/>
  <c r="C145" i="67"/>
  <c r="H145" s="1"/>
  <c r="C184"/>
  <c r="H184" s="1"/>
  <c r="C136" i="64"/>
  <c r="H136" s="1"/>
  <c r="C15"/>
  <c r="H15" s="1"/>
  <c r="C154" i="67"/>
  <c r="H154" s="1"/>
  <c r="G16" i="85"/>
  <c r="M82" i="84"/>
  <c r="C153" i="64"/>
  <c r="H153" s="1"/>
  <c r="C140"/>
  <c r="H140" s="1"/>
  <c r="C140" i="67"/>
  <c r="H140" s="1"/>
  <c r="P9" i="85"/>
  <c r="N195" i="84"/>
  <c r="C145" i="64"/>
  <c r="H145" s="1"/>
  <c r="C163"/>
  <c r="H163" s="1"/>
  <c r="C142"/>
  <c r="H142" s="1"/>
  <c r="C138" i="67"/>
  <c r="H138" s="1"/>
  <c r="C172"/>
  <c r="H172" s="1"/>
  <c r="C153"/>
  <c r="H153" s="1"/>
  <c r="C130"/>
  <c r="H130" s="1"/>
  <c r="C167" i="64"/>
  <c r="H167" s="1"/>
  <c r="P10" i="85"/>
  <c r="N188" i="84"/>
  <c r="C190" i="67"/>
  <c r="H190" s="1"/>
  <c r="E128" i="61"/>
  <c r="F145"/>
  <c r="F174"/>
  <c r="F171"/>
  <c r="F141"/>
  <c r="E186"/>
  <c r="J27" i="68" s="1"/>
  <c r="F127" i="61"/>
  <c r="F167"/>
  <c r="F135"/>
  <c r="P13" i="85"/>
  <c r="N169" i="84"/>
  <c r="C135" i="67"/>
  <c r="H135" s="1"/>
  <c r="H72" i="70"/>
  <c r="F71"/>
  <c r="C172" i="64"/>
  <c r="H172" s="1"/>
  <c r="C169" i="67"/>
  <c r="H169" s="1"/>
  <c r="N173" i="84"/>
  <c r="P7" i="85"/>
  <c r="M34" i="84"/>
  <c r="G9" i="85"/>
  <c r="C127" i="64"/>
  <c r="H127" s="1"/>
  <c r="C9" i="85"/>
  <c r="C12"/>
  <c r="C156" i="64"/>
  <c r="H156" s="1"/>
  <c r="C135"/>
  <c r="H135" s="1"/>
  <c r="C182"/>
  <c r="H182" s="1"/>
  <c r="C186"/>
  <c r="H186" s="1"/>
  <c r="E191" i="61"/>
  <c r="J32" i="68" s="1"/>
  <c r="E129" i="61"/>
  <c r="E190"/>
  <c r="J31" i="68" s="1"/>
  <c r="E155" i="61"/>
  <c r="F182"/>
  <c r="K23" i="68" s="1"/>
  <c r="F169" i="61"/>
  <c r="E114"/>
  <c r="J11" i="68" s="1"/>
  <c r="F138" i="61"/>
  <c r="F131"/>
  <c r="E187"/>
  <c r="J28" i="68" s="1"/>
  <c r="E127" i="61"/>
  <c r="E144"/>
  <c r="G12" i="85"/>
  <c r="M9" i="84"/>
  <c r="C128" i="64"/>
  <c r="H128" s="1"/>
  <c r="C187"/>
  <c r="H187" s="1"/>
  <c r="C134" i="67"/>
  <c r="H134" s="1"/>
  <c r="C125"/>
  <c r="H125" s="1"/>
  <c r="C131"/>
  <c r="H131" s="1"/>
  <c r="F10" i="70"/>
  <c r="C9"/>
  <c r="C15" s="1"/>
  <c r="C126" i="64"/>
  <c r="H126" s="1"/>
  <c r="P16" i="85"/>
  <c r="N243" i="84"/>
  <c r="C154" i="64"/>
  <c r="H154" s="1"/>
  <c r="C144" i="67"/>
  <c r="H144" s="1"/>
  <c r="C8" i="85"/>
  <c r="E174" i="61"/>
  <c r="E135"/>
  <c r="E154"/>
  <c r="E169"/>
  <c r="F114"/>
  <c r="K11" i="68" s="1"/>
  <c r="G10" i="85"/>
  <c r="M27" i="84"/>
  <c r="C134" i="64"/>
  <c r="H134" s="1"/>
  <c r="C174" i="67"/>
  <c r="H174" s="1"/>
  <c r="C158"/>
  <c r="H158" s="1"/>
  <c r="H241" i="64"/>
  <c r="I75" i="70"/>
  <c r="J75" s="1"/>
  <c r="C157" i="64"/>
  <c r="H157" s="1"/>
  <c r="C129"/>
  <c r="H129" s="1"/>
  <c r="C182" i="67"/>
  <c r="H182" s="1"/>
  <c r="C155"/>
  <c r="H155" s="1"/>
  <c r="C16" i="85"/>
  <c r="C175" i="67"/>
  <c r="H175" s="1"/>
  <c r="D38" i="70"/>
  <c r="B37"/>
  <c r="B45" s="1"/>
  <c r="C125" i="64"/>
  <c r="H125" s="1"/>
  <c r="C141" i="67"/>
  <c r="H141" s="1"/>
  <c r="E12" i="72"/>
  <c r="D13" i="90"/>
  <c r="C167" i="67"/>
  <c r="H167" s="1"/>
  <c r="N194" i="84"/>
  <c r="P8" i="85"/>
  <c r="C171" i="67"/>
  <c r="H171" s="1"/>
  <c r="C171" i="64"/>
  <c r="H171" s="1"/>
  <c r="C186" i="67"/>
  <c r="H186" s="1"/>
  <c r="C141" i="64"/>
  <c r="H141" s="1"/>
  <c r="C168" i="67"/>
  <c r="H168" s="1"/>
  <c r="C143" i="64"/>
  <c r="H143" s="1"/>
  <c r="C158"/>
  <c r="H158" s="1"/>
  <c r="P11" i="85"/>
  <c r="N217" i="84"/>
  <c r="E183" i="61"/>
  <c r="J24" i="68" s="1"/>
  <c r="F164" i="61"/>
  <c r="E143"/>
  <c r="F156"/>
  <c r="F168"/>
  <c r="E136"/>
  <c r="E162"/>
  <c r="E153"/>
  <c r="E130"/>
  <c r="C191" i="64"/>
  <c r="H191" s="1"/>
  <c r="G13" i="85"/>
  <c r="M8" i="84"/>
  <c r="C136" i="67"/>
  <c r="H136" s="1"/>
  <c r="C143"/>
  <c r="H143" s="1"/>
  <c r="C128"/>
  <c r="H128" s="1"/>
  <c r="C138" i="64"/>
  <c r="H138" s="1"/>
  <c r="C164"/>
  <c r="H164" s="1"/>
  <c r="C174"/>
  <c r="H174" s="1"/>
  <c r="C169"/>
  <c r="H169" s="1"/>
  <c r="C173"/>
  <c r="H173" s="1"/>
  <c r="C13" i="85"/>
  <c r="J241" i="84"/>
  <c r="J251" s="1"/>
  <c r="L6" i="85"/>
  <c r="L14" s="1"/>
  <c r="C11"/>
  <c r="M33" i="84"/>
  <c r="G8" i="85"/>
  <c r="C10"/>
  <c r="C7"/>
  <c r="C130" i="64"/>
  <c r="H130" s="1"/>
  <c r="M56" i="84"/>
  <c r="G11" i="85"/>
  <c r="E77" i="70"/>
  <c r="D14" i="72"/>
  <c r="D15" s="1"/>
  <c r="D37" s="1"/>
  <c r="D40" i="90" s="1"/>
  <c r="E9" i="72"/>
  <c r="D10" i="90"/>
  <c r="F113" i="61"/>
  <c r="F190"/>
  <c r="K31" i="68" s="1"/>
  <c r="E15" i="61"/>
  <c r="D241"/>
  <c r="C241" s="1"/>
  <c r="H180" i="84" l="1"/>
  <c r="G180" s="1"/>
  <c r="H170"/>
  <c r="G170" s="1"/>
  <c r="H213"/>
  <c r="G213" s="1"/>
  <c r="H227"/>
  <c r="G227" s="1"/>
  <c r="N18" i="85"/>
  <c r="N19" s="1"/>
  <c r="H84" i="84"/>
  <c r="G84" s="1"/>
  <c r="H56"/>
  <c r="G56" s="1"/>
  <c r="H217"/>
  <c r="G217" s="1"/>
  <c r="H220"/>
  <c r="G220" s="1"/>
  <c r="H186"/>
  <c r="G186" s="1"/>
  <c r="H236"/>
  <c r="G236" s="1"/>
  <c r="M129"/>
  <c r="H223"/>
  <c r="G223" s="1"/>
  <c r="H59"/>
  <c r="G59" s="1"/>
  <c r="H32"/>
  <c r="G32" s="1"/>
  <c r="H215"/>
  <c r="G215" s="1"/>
  <c r="H234"/>
  <c r="G234" s="1"/>
  <c r="H190"/>
  <c r="G190" s="1"/>
  <c r="H183"/>
  <c r="G183" s="1"/>
  <c r="H34"/>
  <c r="G34" s="1"/>
  <c r="H27"/>
  <c r="G27" s="1"/>
  <c r="H177"/>
  <c r="G177" s="1"/>
  <c r="H232"/>
  <c r="G232" s="1"/>
  <c r="H172"/>
  <c r="G172" s="1"/>
  <c r="H214"/>
  <c r="G214" s="1"/>
  <c r="H205"/>
  <c r="G205" s="1"/>
  <c r="H235"/>
  <c r="G235" s="1"/>
  <c r="H209"/>
  <c r="G209" s="1"/>
  <c r="H245"/>
  <c r="G245" s="1"/>
  <c r="H208"/>
  <c r="G208" s="1"/>
  <c r="H238"/>
  <c r="G238" s="1"/>
  <c r="H207"/>
  <c r="G207" s="1"/>
  <c r="H201"/>
  <c r="G201" s="1"/>
  <c r="H14"/>
  <c r="G14" s="1"/>
  <c r="H20"/>
  <c r="G20" s="1"/>
  <c r="H40"/>
  <c r="G40" s="1"/>
  <c r="H211"/>
  <c r="G211" s="1"/>
  <c r="H86"/>
  <c r="G86" s="1"/>
  <c r="R18" i="85"/>
  <c r="R19" s="1"/>
  <c r="H237" i="84"/>
  <c r="G237" s="1"/>
  <c r="H41"/>
  <c r="G41" s="1"/>
  <c r="H202"/>
  <c r="G202" s="1"/>
  <c r="H204"/>
  <c r="G204" s="1"/>
  <c r="H61"/>
  <c r="G61" s="1"/>
  <c r="G176"/>
  <c r="H9"/>
  <c r="G9" s="1"/>
  <c r="H189"/>
  <c r="G189" s="1"/>
  <c r="G49"/>
  <c r="F45" i="85"/>
  <c r="H75" i="84"/>
  <c r="G75" s="1"/>
  <c r="H25"/>
  <c r="G25" s="1"/>
  <c r="Q248"/>
  <c r="H230"/>
  <c r="G230" s="1"/>
  <c r="H52"/>
  <c r="G52" s="1"/>
  <c r="H19"/>
  <c r="G19" s="1"/>
  <c r="I45" i="85"/>
  <c r="H229" i="84"/>
  <c r="G229" s="1"/>
  <c r="H12"/>
  <c r="G12" s="1"/>
  <c r="H210"/>
  <c r="G210" s="1"/>
  <c r="H240"/>
  <c r="G240" s="1"/>
  <c r="H212"/>
  <c r="G212" s="1"/>
  <c r="H200"/>
  <c r="G200" s="1"/>
  <c r="H39"/>
  <c r="G39" s="1"/>
  <c r="H196"/>
  <c r="G196" s="1"/>
  <c r="H57"/>
  <c r="G57" s="1"/>
  <c r="H64"/>
  <c r="G64" s="1"/>
  <c r="H197"/>
  <c r="G197" s="1"/>
  <c r="H178"/>
  <c r="G178" s="1"/>
  <c r="H175"/>
  <c r="G175" s="1"/>
  <c r="L44" i="85"/>
  <c r="L47" s="1"/>
  <c r="L52" s="1"/>
  <c r="H191" i="84"/>
  <c r="G191" s="1"/>
  <c r="H244"/>
  <c r="G244" s="1"/>
  <c r="H174"/>
  <c r="G174" s="1"/>
  <c r="H72"/>
  <c r="G72" s="1"/>
  <c r="H29"/>
  <c r="G29" s="1"/>
  <c r="H21"/>
  <c r="G21" s="1"/>
  <c r="H65"/>
  <c r="G65" s="1"/>
  <c r="R45" i="85"/>
  <c r="H10" i="84"/>
  <c r="G10" s="1"/>
  <c r="H30"/>
  <c r="G30" s="1"/>
  <c r="H28"/>
  <c r="G28" s="1"/>
  <c r="H18"/>
  <c r="G18" s="1"/>
  <c r="H68"/>
  <c r="G68" s="1"/>
  <c r="H53"/>
  <c r="G53" s="1"/>
  <c r="H22"/>
  <c r="G22" s="1"/>
  <c r="H26"/>
  <c r="G26" s="1"/>
  <c r="H31"/>
  <c r="G31" s="1"/>
  <c r="H233"/>
  <c r="G233" s="1"/>
  <c r="G48"/>
  <c r="H51"/>
  <c r="G51" s="1"/>
  <c r="H58"/>
  <c r="G58" s="1"/>
  <c r="H66"/>
  <c r="G66" s="1"/>
  <c r="H62"/>
  <c r="G62" s="1"/>
  <c r="G55"/>
  <c r="P250"/>
  <c r="R17" i="85"/>
  <c r="N290" i="84"/>
  <c r="H11"/>
  <c r="G11" s="1"/>
  <c r="N45" i="85"/>
  <c r="H85" i="84"/>
  <c r="G85" s="1"/>
  <c r="H45"/>
  <c r="G45" s="1"/>
  <c r="H60"/>
  <c r="G60" s="1"/>
  <c r="H35"/>
  <c r="G35" s="1"/>
  <c r="Q45" i="85"/>
  <c r="N289" i="84"/>
  <c r="H225"/>
  <c r="G225" s="1"/>
  <c r="H181"/>
  <c r="G181" s="1"/>
  <c r="H33"/>
  <c r="G33" s="1"/>
  <c r="H187"/>
  <c r="G187" s="1"/>
  <c r="J293"/>
  <c r="Q15" i="85"/>
  <c r="Q17" s="1"/>
  <c r="H184" i="84"/>
  <c r="G184" s="1"/>
  <c r="H192"/>
  <c r="G192" s="1"/>
  <c r="H16"/>
  <c r="G16" s="1"/>
  <c r="H8"/>
  <c r="G8" s="1"/>
  <c r="H50"/>
  <c r="G50" s="1"/>
  <c r="O45" i="85"/>
  <c r="H42" i="84"/>
  <c r="G42" s="1"/>
  <c r="H71"/>
  <c r="G71" s="1"/>
  <c r="N17" i="85"/>
  <c r="H69" i="84"/>
  <c r="G69" s="1"/>
  <c r="H74"/>
  <c r="G74" s="1"/>
  <c r="H24"/>
  <c r="G24" s="1"/>
  <c r="F77" i="61"/>
  <c r="F24" i="68" s="1"/>
  <c r="F21" i="61"/>
  <c r="H221" i="84"/>
  <c r="G221" s="1"/>
  <c r="L248"/>
  <c r="H228"/>
  <c r="G228" s="1"/>
  <c r="J7" i="85"/>
  <c r="H203" i="84"/>
  <c r="G203" s="1"/>
  <c r="H199"/>
  <c r="G199" s="1"/>
  <c r="F68" i="61"/>
  <c r="H185" i="84"/>
  <c r="G185" s="1"/>
  <c r="H182"/>
  <c r="G182" s="1"/>
  <c r="H23"/>
  <c r="G23" s="1"/>
  <c r="H67"/>
  <c r="G67" s="1"/>
  <c r="M12" i="85"/>
  <c r="H46" i="84"/>
  <c r="G46" s="1"/>
  <c r="E12" i="85"/>
  <c r="D16"/>
  <c r="H222" i="84"/>
  <c r="G222" s="1"/>
  <c r="H206"/>
  <c r="G206" s="1"/>
  <c r="L20" i="85"/>
  <c r="H216" i="84"/>
  <c r="G216" s="1"/>
  <c r="H246"/>
  <c r="G246" s="1"/>
  <c r="E31" i="61"/>
  <c r="H198" i="84"/>
  <c r="G198" s="1"/>
  <c r="H231"/>
  <c r="G231" s="1"/>
  <c r="H219"/>
  <c r="G219" s="1"/>
  <c r="H239"/>
  <c r="G239" s="1"/>
  <c r="M16" i="85"/>
  <c r="H54" i="84"/>
  <c r="G54" s="1"/>
  <c r="H83"/>
  <c r="G83" s="1"/>
  <c r="H13"/>
  <c r="G13" s="1"/>
  <c r="H76"/>
  <c r="G76" s="1"/>
  <c r="H15"/>
  <c r="G15" s="1"/>
  <c r="H73"/>
  <c r="G73" s="1"/>
  <c r="D10" i="85"/>
  <c r="H78" i="84"/>
  <c r="G78" s="1"/>
  <c r="E10" i="85"/>
  <c r="H44" i="84"/>
  <c r="G44" s="1"/>
  <c r="H43"/>
  <c r="G43" s="1"/>
  <c r="M10" i="85"/>
  <c r="H247" i="84"/>
  <c r="G247" s="1"/>
  <c r="H179"/>
  <c r="G179" s="1"/>
  <c r="H226"/>
  <c r="G226" s="1"/>
  <c r="H47"/>
  <c r="G47" s="1"/>
  <c r="H45" i="85"/>
  <c r="H70" i="84"/>
  <c r="G70" s="1"/>
  <c r="M11" i="85"/>
  <c r="H36" i="84"/>
  <c r="G36" s="1"/>
  <c r="M128"/>
  <c r="E13" i="85"/>
  <c r="E11"/>
  <c r="H38" i="84"/>
  <c r="G38" s="1"/>
  <c r="H224"/>
  <c r="G224" s="1"/>
  <c r="E16" i="85"/>
  <c r="M13"/>
  <c r="H37" i="84"/>
  <c r="G37" s="1"/>
  <c r="D12" i="85"/>
  <c r="H193" i="84"/>
  <c r="G193" s="1"/>
  <c r="H171"/>
  <c r="G171" s="1"/>
  <c r="H218"/>
  <c r="G218" s="1"/>
  <c r="D13" i="85"/>
  <c r="D164" i="61"/>
  <c r="C164" s="1"/>
  <c r="J295" i="84"/>
  <c r="H82"/>
  <c r="G82" s="1"/>
  <c r="D126" i="61"/>
  <c r="C126" s="1"/>
  <c r="H79" i="84"/>
  <c r="G79" s="1"/>
  <c r="H63"/>
  <c r="G63" s="1"/>
  <c r="H77"/>
  <c r="G77" s="1"/>
  <c r="F18" i="85"/>
  <c r="F19" s="1"/>
  <c r="P291" i="84"/>
  <c r="O89"/>
  <c r="H6" i="85"/>
  <c r="H14" s="1"/>
  <c r="R50"/>
  <c r="R51" s="1"/>
  <c r="E46"/>
  <c r="L293" i="84"/>
  <c r="O18" i="85"/>
  <c r="O19" s="1"/>
  <c r="F15"/>
  <c r="F17" s="1"/>
  <c r="M15"/>
  <c r="Q48"/>
  <c r="Q49" s="1"/>
  <c r="Q293" i="84"/>
  <c r="M46" i="85"/>
  <c r="R44"/>
  <c r="H126" i="84"/>
  <c r="P241"/>
  <c r="M241"/>
  <c r="O87"/>
  <c r="D46" i="85"/>
  <c r="P89" i="84"/>
  <c r="I6" i="85"/>
  <c r="I14" s="1"/>
  <c r="Q50"/>
  <c r="Q51" s="1"/>
  <c r="Q241" i="84"/>
  <c r="M18" i="85"/>
  <c r="M19" s="1"/>
  <c r="I15"/>
  <c r="I17" s="1"/>
  <c r="M248" i="84"/>
  <c r="N6" i="85"/>
  <c r="N14" s="1"/>
  <c r="L80" i="84"/>
  <c r="N44" i="85"/>
  <c r="N50"/>
  <c r="N51" s="1"/>
  <c r="F121" i="61"/>
  <c r="F37"/>
  <c r="D173"/>
  <c r="C173" s="1"/>
  <c r="F47"/>
  <c r="F181"/>
  <c r="K22" i="68" s="1"/>
  <c r="E43" i="61"/>
  <c r="F119"/>
  <c r="E122"/>
  <c r="E36"/>
  <c r="F42"/>
  <c r="E119"/>
  <c r="D129"/>
  <c r="C129" s="1"/>
  <c r="F19"/>
  <c r="E21"/>
  <c r="E23"/>
  <c r="C188" i="67"/>
  <c r="H188" s="1"/>
  <c r="D154" i="61"/>
  <c r="C154" s="1"/>
  <c r="D11" i="85"/>
  <c r="E120" i="61"/>
  <c r="D157"/>
  <c r="C157" s="1"/>
  <c r="F36"/>
  <c r="E27"/>
  <c r="E19"/>
  <c r="F38"/>
  <c r="D137"/>
  <c r="C137" s="1"/>
  <c r="D15" i="90"/>
  <c r="D16" s="1"/>
  <c r="D38" s="1"/>
  <c r="D41" s="1"/>
  <c r="D127" i="61"/>
  <c r="C127" s="1"/>
  <c r="E54"/>
  <c r="E17"/>
  <c r="F80"/>
  <c r="F27" i="68" s="1"/>
  <c r="U11" i="72"/>
  <c r="E20" i="61"/>
  <c r="E188"/>
  <c r="J29" i="68" s="1"/>
  <c r="F62" i="61"/>
  <c r="F54"/>
  <c r="E16"/>
  <c r="C12" i="90"/>
  <c r="C15" s="1"/>
  <c r="C16" s="1"/>
  <c r="C38" s="1"/>
  <c r="C41" s="1"/>
  <c r="E48" i="61"/>
  <c r="E69"/>
  <c r="D142"/>
  <c r="C142" s="1"/>
  <c r="F31"/>
  <c r="D191"/>
  <c r="C191" s="1"/>
  <c r="D15"/>
  <c r="C15" s="1"/>
  <c r="D156"/>
  <c r="C156" s="1"/>
  <c r="D187"/>
  <c r="C187" s="1"/>
  <c r="F85"/>
  <c r="F32" i="68" s="1"/>
  <c r="D158" i="61"/>
  <c r="C158" s="1"/>
  <c r="D174"/>
  <c r="C174" s="1"/>
  <c r="E68"/>
  <c r="D169"/>
  <c r="C169" s="1"/>
  <c r="D138"/>
  <c r="C138" s="1"/>
  <c r="J9" i="85"/>
  <c r="F35" i="61"/>
  <c r="D172"/>
  <c r="C172" s="1"/>
  <c r="F53"/>
  <c r="H17" i="84"/>
  <c r="G17" s="1"/>
  <c r="E113" i="61"/>
  <c r="F60"/>
  <c r="E67"/>
  <c r="F48"/>
  <c r="E14"/>
  <c r="E53"/>
  <c r="F16"/>
  <c r="C119" i="67"/>
  <c r="H119" s="1"/>
  <c r="D182" i="61"/>
  <c r="C182" s="1"/>
  <c r="D162"/>
  <c r="C162" s="1"/>
  <c r="E39"/>
  <c r="F28"/>
  <c r="D171"/>
  <c r="C171" s="1"/>
  <c r="E55"/>
  <c r="C122" i="64"/>
  <c r="H122" s="1"/>
  <c r="F122" i="61"/>
  <c r="D145"/>
  <c r="C145" s="1"/>
  <c r="D183"/>
  <c r="C183" s="1"/>
  <c r="F188"/>
  <c r="K29" i="68" s="1"/>
  <c r="E22" i="61"/>
  <c r="B64" i="70"/>
  <c r="B79" s="1"/>
  <c r="F55" i="61"/>
  <c r="E84"/>
  <c r="E31" i="68" s="1"/>
  <c r="E81" i="61"/>
  <c r="E28" i="68" s="1"/>
  <c r="E80" i="61"/>
  <c r="E27" i="68" s="1"/>
  <c r="E34" i="61"/>
  <c r="K11" i="85"/>
  <c r="D125" i="61"/>
  <c r="C125" s="1"/>
  <c r="D114"/>
  <c r="I11" i="68" s="1"/>
  <c r="H11" s="1"/>
  <c r="E29" i="61"/>
  <c r="F56"/>
  <c r="D153"/>
  <c r="C153" s="1"/>
  <c r="C119" i="64"/>
  <c r="H119" s="1"/>
  <c r="C18"/>
  <c r="H18" s="1"/>
  <c r="C67" i="67"/>
  <c r="H67" s="1"/>
  <c r="C48" i="64"/>
  <c r="H48" s="1"/>
  <c r="F58" i="67"/>
  <c r="C56"/>
  <c r="H56" s="1"/>
  <c r="G45" i="85"/>
  <c r="M126" i="84"/>
  <c r="C39" i="64"/>
  <c r="H39" s="1"/>
  <c r="C80" i="67"/>
  <c r="H80" s="1"/>
  <c r="C113" i="64"/>
  <c r="H113" s="1"/>
  <c r="C60"/>
  <c r="H60" s="1"/>
  <c r="C77"/>
  <c r="H77" s="1"/>
  <c r="C84" i="67"/>
  <c r="H84" s="1"/>
  <c r="F150"/>
  <c r="C39"/>
  <c r="H39" s="1"/>
  <c r="C69"/>
  <c r="H69" s="1"/>
  <c r="C37"/>
  <c r="H37" s="1"/>
  <c r="H195" i="84"/>
  <c r="G195" s="1"/>
  <c r="K9" i="85"/>
  <c r="S9" s="1"/>
  <c r="F123" i="67"/>
  <c r="M127" i="84"/>
  <c r="G46" i="85"/>
  <c r="D130" i="61"/>
  <c r="C130" s="1"/>
  <c r="E61"/>
  <c r="D163"/>
  <c r="C163" s="1"/>
  <c r="D168"/>
  <c r="C168" s="1"/>
  <c r="E46"/>
  <c r="F12" i="67"/>
  <c r="F11" s="1"/>
  <c r="N287" i="84"/>
  <c r="P45" i="85"/>
  <c r="C55" i="67"/>
  <c r="H55" s="1"/>
  <c r="D148" i="61"/>
  <c r="K16" i="85"/>
  <c r="H243" i="84"/>
  <c r="G243" s="1"/>
  <c r="C47" i="64"/>
  <c r="H47" s="1"/>
  <c r="C27" i="67"/>
  <c r="H27" s="1"/>
  <c r="C81"/>
  <c r="H81" s="1"/>
  <c r="D239" i="61"/>
  <c r="C16" i="67"/>
  <c r="H16" s="1"/>
  <c r="C85" i="64"/>
  <c r="H85" s="1"/>
  <c r="K13" i="85"/>
  <c r="H169" i="84"/>
  <c r="G169" s="1"/>
  <c r="F64" i="67"/>
  <c r="F67" i="61"/>
  <c r="F81"/>
  <c r="F28" i="68" s="1"/>
  <c r="D136" i="61"/>
  <c r="C136" s="1"/>
  <c r="E42"/>
  <c r="E38"/>
  <c r="E181"/>
  <c r="J22" i="68" s="1"/>
  <c r="E18" i="61"/>
  <c r="C31" i="64"/>
  <c r="H31" s="1"/>
  <c r="C69"/>
  <c r="H69" s="1"/>
  <c r="E79" i="70"/>
  <c r="F242" i="64"/>
  <c r="O248" i="84"/>
  <c r="P15" i="85"/>
  <c r="P17" s="1"/>
  <c r="N242" i="84"/>
  <c r="N248" s="1"/>
  <c r="C34" i="67"/>
  <c r="H34" s="1"/>
  <c r="C54" i="64"/>
  <c r="H54" s="1"/>
  <c r="C38" i="67"/>
  <c r="H38" s="1"/>
  <c r="C181" i="64"/>
  <c r="H181" s="1"/>
  <c r="E150" i="67"/>
  <c r="C61" i="64"/>
  <c r="H61" s="1"/>
  <c r="C80"/>
  <c r="H80" s="1"/>
  <c r="C17" i="67"/>
  <c r="H17" s="1"/>
  <c r="C14" i="64"/>
  <c r="H14" s="1"/>
  <c r="D242"/>
  <c r="C239"/>
  <c r="C68" i="67"/>
  <c r="H68" s="1"/>
  <c r="C120" i="64"/>
  <c r="H120" s="1"/>
  <c r="N288" i="84"/>
  <c r="P46" i="85"/>
  <c r="C35" i="64"/>
  <c r="H35" s="1"/>
  <c r="E64" i="67"/>
  <c r="C21" i="64"/>
  <c r="H21" s="1"/>
  <c r="C28"/>
  <c r="H28" s="1"/>
  <c r="D185" i="61"/>
  <c r="E58" i="67"/>
  <c r="C42" i="64"/>
  <c r="H42" s="1"/>
  <c r="C62"/>
  <c r="H62" s="1"/>
  <c r="D131" i="61"/>
  <c r="C131" s="1"/>
  <c r="E189"/>
  <c r="J30" i="68" s="1"/>
  <c r="F20" i="61"/>
  <c r="E121"/>
  <c r="D167"/>
  <c r="C167" s="1"/>
  <c r="F49"/>
  <c r="E35"/>
  <c r="C34" i="64"/>
  <c r="H34" s="1"/>
  <c r="E51" i="67"/>
  <c r="E241" i="76"/>
  <c r="I77" i="70"/>
  <c r="J77" s="1"/>
  <c r="H241" i="61"/>
  <c r="C35" i="67"/>
  <c r="H35" s="1"/>
  <c r="C62"/>
  <c r="H62" s="1"/>
  <c r="C68" i="64"/>
  <c r="H68" s="1"/>
  <c r="E44" i="67"/>
  <c r="D226" i="64"/>
  <c r="C185"/>
  <c r="F38" i="70"/>
  <c r="D37"/>
  <c r="D45" s="1"/>
  <c r="H10"/>
  <c r="F9"/>
  <c r="C66" i="64"/>
  <c r="H66" s="1"/>
  <c r="C43" i="67"/>
  <c r="H43" s="1"/>
  <c r="C20"/>
  <c r="H20" s="1"/>
  <c r="C31"/>
  <c r="H31" s="1"/>
  <c r="C38" i="64"/>
  <c r="H38" s="1"/>
  <c r="C78"/>
  <c r="H78" s="1"/>
  <c r="E12" i="67"/>
  <c r="E11" s="1"/>
  <c r="F146" i="64"/>
  <c r="C63"/>
  <c r="H63" s="1"/>
  <c r="C189"/>
  <c r="H189" s="1"/>
  <c r="C22"/>
  <c r="H22" s="1"/>
  <c r="N249" i="84"/>
  <c r="N250" s="1"/>
  <c r="P18" i="85"/>
  <c r="P19" s="1"/>
  <c r="O250" i="84"/>
  <c r="C43" i="64"/>
  <c r="H43" s="1"/>
  <c r="C42" i="67"/>
  <c r="H42" s="1"/>
  <c r="C45" i="85"/>
  <c r="E56" i="61"/>
  <c r="E62"/>
  <c r="F14"/>
  <c r="E78"/>
  <c r="E25" i="68" s="1"/>
  <c r="D128" i="61"/>
  <c r="C128" s="1"/>
  <c r="F18"/>
  <c r="F17"/>
  <c r="E85"/>
  <c r="E32" i="68" s="1"/>
  <c r="E37" i="61"/>
  <c r="C121" i="64"/>
  <c r="H121" s="1"/>
  <c r="C113" i="67"/>
  <c r="H113" s="1"/>
  <c r="F78" i="61"/>
  <c r="F25" i="68" s="1"/>
  <c r="F66" i="61"/>
  <c r="D175"/>
  <c r="C175" s="1"/>
  <c r="C20" i="64"/>
  <c r="H20" s="1"/>
  <c r="C29" i="67"/>
  <c r="H29" s="1"/>
  <c r="C56" i="64"/>
  <c r="H56" s="1"/>
  <c r="C61" i="67"/>
  <c r="H61" s="1"/>
  <c r="E13" i="90"/>
  <c r="F12" i="72"/>
  <c r="C22" i="67"/>
  <c r="H22" s="1"/>
  <c r="H194" i="84"/>
  <c r="G194" s="1"/>
  <c r="K8" i="85"/>
  <c r="S8" s="1"/>
  <c r="F185" i="61"/>
  <c r="F226" i="64"/>
  <c r="C54" i="67"/>
  <c r="H54" s="1"/>
  <c r="C77"/>
  <c r="H77" s="1"/>
  <c r="C36" i="64"/>
  <c r="H36" s="1"/>
  <c r="C46"/>
  <c r="H46" s="1"/>
  <c r="C23" i="67"/>
  <c r="H23" s="1"/>
  <c r="E226" i="64"/>
  <c r="E185" i="61"/>
  <c r="F75" i="70"/>
  <c r="H71"/>
  <c r="C27" i="64"/>
  <c r="H27" s="1"/>
  <c r="F165" i="67"/>
  <c r="C46"/>
  <c r="H46" s="1"/>
  <c r="C23" i="64"/>
  <c r="H23" s="1"/>
  <c r="F44" i="67"/>
  <c r="C67" i="64"/>
  <c r="H67" s="1"/>
  <c r="K12" i="85"/>
  <c r="C120" i="67"/>
  <c r="H120" s="1"/>
  <c r="C79" i="64"/>
  <c r="H79" s="1"/>
  <c r="F84" i="61"/>
  <c r="F31" i="68" s="1"/>
  <c r="D134" i="61"/>
  <c r="C134" s="1"/>
  <c r="C181" i="67"/>
  <c r="H181" s="1"/>
  <c r="F22" i="61"/>
  <c r="F61"/>
  <c r="F39"/>
  <c r="E28"/>
  <c r="C55" i="64"/>
  <c r="H55" s="1"/>
  <c r="C46" i="85"/>
  <c r="C49" i="67"/>
  <c r="H49" s="1"/>
  <c r="C49" i="64"/>
  <c r="H49" s="1"/>
  <c r="C63" i="67"/>
  <c r="H63" s="1"/>
  <c r="E123"/>
  <c r="C36"/>
  <c r="H36" s="1"/>
  <c r="E10" i="90"/>
  <c r="E14" i="72"/>
  <c r="E15" s="1"/>
  <c r="E37" s="1"/>
  <c r="E40" i="90" s="1"/>
  <c r="F9" i="72"/>
  <c r="F146" i="67"/>
  <c r="F132" s="1"/>
  <c r="C19" i="64"/>
  <c r="H19" s="1"/>
  <c r="C188"/>
  <c r="H188" s="1"/>
  <c r="F242" i="67"/>
  <c r="E146" i="64"/>
  <c r="E242" i="67"/>
  <c r="E159"/>
  <c r="C48"/>
  <c r="H48" s="1"/>
  <c r="C64" i="70"/>
  <c r="C79" s="1"/>
  <c r="C53" i="67"/>
  <c r="H53" s="1"/>
  <c r="C37" i="64"/>
  <c r="H37" s="1"/>
  <c r="C19" i="67"/>
  <c r="H19" s="1"/>
  <c r="E165"/>
  <c r="C17" i="64"/>
  <c r="H17" s="1"/>
  <c r="F51" i="67"/>
  <c r="C148" i="64"/>
  <c r="D146"/>
  <c r="C47" i="67"/>
  <c r="H47" s="1"/>
  <c r="E242" i="64"/>
  <c r="C16"/>
  <c r="H16" s="1"/>
  <c r="C28" i="67"/>
  <c r="H28" s="1"/>
  <c r="F46" i="61"/>
  <c r="F43"/>
  <c r="F63"/>
  <c r="D143"/>
  <c r="C143" s="1"/>
  <c r="D141"/>
  <c r="C141" s="1"/>
  <c r="E60"/>
  <c r="E63"/>
  <c r="F69"/>
  <c r="D190"/>
  <c r="E49"/>
  <c r="C21" i="67"/>
  <c r="H21" s="1"/>
  <c r="C66"/>
  <c r="H66" s="1"/>
  <c r="C85"/>
  <c r="H85" s="1"/>
  <c r="C60"/>
  <c r="H60" s="1"/>
  <c r="C29" i="64"/>
  <c r="H29" s="1"/>
  <c r="C78" i="67"/>
  <c r="H78" s="1"/>
  <c r="F159"/>
  <c r="C84" i="64"/>
  <c r="H84" s="1"/>
  <c r="C144"/>
  <c r="H144" s="1"/>
  <c r="D144" i="61"/>
  <c r="C144" s="1"/>
  <c r="C53" i="64"/>
  <c r="H53" s="1"/>
  <c r="C18" i="67"/>
  <c r="H18" s="1"/>
  <c r="C81" i="64"/>
  <c r="H81" s="1"/>
  <c r="H188" i="84"/>
  <c r="G188" s="1"/>
  <c r="K10" i="85"/>
  <c r="E146" i="67"/>
  <c r="E132" s="1"/>
  <c r="C14"/>
  <c r="H14" s="1"/>
  <c r="H173" i="84"/>
  <c r="G173" s="1"/>
  <c r="K7" i="85"/>
  <c r="S7" s="1"/>
  <c r="J8"/>
  <c r="F23" i="61"/>
  <c r="C189" i="67"/>
  <c r="H189" s="1"/>
  <c r="E66" i="61"/>
  <c r="E47"/>
  <c r="F27"/>
  <c r="F34"/>
  <c r="D186"/>
  <c r="D135"/>
  <c r="C135" s="1"/>
  <c r="E77"/>
  <c r="E24" i="68" s="1"/>
  <c r="F120" i="61"/>
  <c r="D140"/>
  <c r="C140" s="1"/>
  <c r="F29"/>
  <c r="F189"/>
  <c r="K30" i="68" s="1"/>
  <c r="D155" i="61"/>
  <c r="C155" s="1"/>
  <c r="O6" i="85" l="1"/>
  <c r="O14" s="1"/>
  <c r="T7"/>
  <c r="W7" s="1"/>
  <c r="N47"/>
  <c r="P251" i="84"/>
  <c r="Q44" i="85"/>
  <c r="Q47" s="1"/>
  <c r="Q52" s="1"/>
  <c r="M250" i="84"/>
  <c r="M251" s="1"/>
  <c r="Q251"/>
  <c r="P295"/>
  <c r="L87"/>
  <c r="P80"/>
  <c r="D188" i="61"/>
  <c r="I29" i="68" s="1"/>
  <c r="H29" s="1"/>
  <c r="J296" i="84"/>
  <c r="J319" s="1"/>
  <c r="L291"/>
  <c r="Q6" i="85"/>
  <c r="Q14" s="1"/>
  <c r="Q20" s="1"/>
  <c r="L295" i="84"/>
  <c r="Q291"/>
  <c r="L89"/>
  <c r="H125" i="61"/>
  <c r="H169"/>
  <c r="F62" i="77"/>
  <c r="G62" s="1"/>
  <c r="E142" i="76"/>
  <c r="E129"/>
  <c r="E173"/>
  <c r="E126"/>
  <c r="H164" i="61"/>
  <c r="R6" i="85"/>
  <c r="R14" s="1"/>
  <c r="R20" s="1"/>
  <c r="H18"/>
  <c r="H19" s="1"/>
  <c r="K248" i="84"/>
  <c r="S11" i="85"/>
  <c r="R47"/>
  <c r="J11"/>
  <c r="F6"/>
  <c r="F14" s="1"/>
  <c r="F20" s="1"/>
  <c r="L70"/>
  <c r="L72" s="1"/>
  <c r="N20"/>
  <c r="H289" i="84"/>
  <c r="G289" s="1"/>
  <c r="J13" i="85"/>
  <c r="J16"/>
  <c r="H15"/>
  <c r="H17" s="1"/>
  <c r="S12"/>
  <c r="K250" i="84"/>
  <c r="D84" i="61"/>
  <c r="D31" i="68" s="1"/>
  <c r="C31" s="1"/>
  <c r="J12" i="85"/>
  <c r="J10"/>
  <c r="H290" i="84"/>
  <c r="G290" s="1"/>
  <c r="L241"/>
  <c r="L251" s="1"/>
  <c r="M17" i="85"/>
  <c r="S16"/>
  <c r="N48"/>
  <c r="N49" s="1"/>
  <c r="S13"/>
  <c r="R48"/>
  <c r="R49" s="1"/>
  <c r="S10"/>
  <c r="Q295" i="84"/>
  <c r="M45" i="85"/>
  <c r="H127" i="84"/>
  <c r="G127" s="1"/>
  <c r="P87"/>
  <c r="P293"/>
  <c r="O80"/>
  <c r="O90" s="1"/>
  <c r="H129"/>
  <c r="G129" s="1"/>
  <c r="I18" i="85"/>
  <c r="I19" s="1"/>
  <c r="I20" s="1"/>
  <c r="E45"/>
  <c r="M293" i="84"/>
  <c r="D6" i="85"/>
  <c r="D14" s="1"/>
  <c r="M50"/>
  <c r="M51" s="1"/>
  <c r="L134" i="84"/>
  <c r="K80"/>
  <c r="O134"/>
  <c r="M291"/>
  <c r="K293"/>
  <c r="H128"/>
  <c r="G128" s="1"/>
  <c r="H44" i="85"/>
  <c r="H47" s="1"/>
  <c r="F44"/>
  <c r="F47" s="1"/>
  <c r="J87" i="84"/>
  <c r="D45" i="85"/>
  <c r="K241" i="84"/>
  <c r="M44" i="85"/>
  <c r="P134" i="84"/>
  <c r="M295"/>
  <c r="L132"/>
  <c r="O15" i="85"/>
  <c r="O17" s="1"/>
  <c r="I48"/>
  <c r="I49" s="1"/>
  <c r="D18"/>
  <c r="D19" s="1"/>
  <c r="P130" i="84"/>
  <c r="H48" i="85"/>
  <c r="H49" s="1"/>
  <c r="K89" i="84"/>
  <c r="H126" i="61"/>
  <c r="I28" i="68"/>
  <c r="H28" s="1"/>
  <c r="H173" i="61"/>
  <c r="E32" i="67"/>
  <c r="D81" i="61"/>
  <c r="C81" s="1"/>
  <c r="E41"/>
  <c r="D27"/>
  <c r="C27" s="1"/>
  <c r="D55"/>
  <c r="C55" s="1"/>
  <c r="T9" i="85"/>
  <c r="W9" s="1"/>
  <c r="F50" i="67"/>
  <c r="J46" i="85"/>
  <c r="H129" i="61"/>
  <c r="D80"/>
  <c r="D27" i="68" s="1"/>
  <c r="C27" s="1"/>
  <c r="H157" i="61"/>
  <c r="E157" i="76"/>
  <c r="E158"/>
  <c r="H158" i="61"/>
  <c r="D119"/>
  <c r="C119" s="1"/>
  <c r="D20"/>
  <c r="C20" s="1"/>
  <c r="D38"/>
  <c r="C38" s="1"/>
  <c r="E137" i="76"/>
  <c r="H137" i="61"/>
  <c r="F32" i="67"/>
  <c r="E169" i="76"/>
  <c r="D56" i="61"/>
  <c r="C56" s="1"/>
  <c r="F28" i="79"/>
  <c r="G28" s="1"/>
  <c r="E164" i="76"/>
  <c r="D37" i="61"/>
  <c r="C37" s="1"/>
  <c r="D69"/>
  <c r="C69" s="1"/>
  <c r="E125" i="76"/>
  <c r="F10" i="79"/>
  <c r="G10" s="1"/>
  <c r="E138" i="76"/>
  <c r="H138" i="61"/>
  <c r="H153"/>
  <c r="H172"/>
  <c r="E153" i="76"/>
  <c r="D67" i="61"/>
  <c r="C67" s="1"/>
  <c r="I24" i="68"/>
  <c r="H24" s="1"/>
  <c r="H174" i="61"/>
  <c r="E174" i="76"/>
  <c r="I23" i="68"/>
  <c r="H23" s="1"/>
  <c r="H142" i="61"/>
  <c r="I32" i="68"/>
  <c r="H32" s="1"/>
  <c r="F75" i="61"/>
  <c r="F22" i="68" s="1"/>
  <c r="E40" i="61"/>
  <c r="F83"/>
  <c r="F30" i="68" s="1"/>
  <c r="D17" i="61"/>
  <c r="C17" s="1"/>
  <c r="E172" i="76"/>
  <c r="D16" i="61"/>
  <c r="C16" s="1"/>
  <c r="D36"/>
  <c r="C36" s="1"/>
  <c r="E15" i="76"/>
  <c r="D29" i="61"/>
  <c r="C29" s="1"/>
  <c r="C114"/>
  <c r="H15"/>
  <c r="D49"/>
  <c r="C49" s="1"/>
  <c r="F40"/>
  <c r="D34"/>
  <c r="C34" s="1"/>
  <c r="G126" i="84"/>
  <c r="E50" i="67"/>
  <c r="D62" i="61"/>
  <c r="C62" s="1"/>
  <c r="E239"/>
  <c r="E242" s="1"/>
  <c r="D78"/>
  <c r="C78" s="1"/>
  <c r="D35"/>
  <c r="C35" s="1"/>
  <c r="E148"/>
  <c r="E146" s="1"/>
  <c r="D23"/>
  <c r="C23" s="1"/>
  <c r="D43"/>
  <c r="C43" s="1"/>
  <c r="E171" i="76"/>
  <c r="H171" i="61"/>
  <c r="D60"/>
  <c r="C60" s="1"/>
  <c r="D14"/>
  <c r="C14" s="1"/>
  <c r="D85"/>
  <c r="D32" i="68" s="1"/>
  <c r="C32" s="1"/>
  <c r="D59" i="61"/>
  <c r="E116" i="67"/>
  <c r="D64" i="70"/>
  <c r="D79" s="1"/>
  <c r="D152" i="61"/>
  <c r="E58" i="64"/>
  <c r="E59" i="61"/>
  <c r="E58" s="1"/>
  <c r="E11" i="69" s="1"/>
  <c r="H191" i="61"/>
  <c r="E191" i="76"/>
  <c r="N168" i="84"/>
  <c r="N241" s="1"/>
  <c r="N251" s="1"/>
  <c r="O241"/>
  <c r="O251" s="1"/>
  <c r="P6" i="85"/>
  <c r="P14" s="1"/>
  <c r="P20" s="1"/>
  <c r="H127" i="61"/>
  <c r="E127" i="76"/>
  <c r="C33" i="64"/>
  <c r="D32"/>
  <c r="H130" i="61"/>
  <c r="E130" i="76"/>
  <c r="C82" i="67"/>
  <c r="H82" s="1"/>
  <c r="F45" i="61"/>
  <c r="F44" s="1"/>
  <c r="F15" i="68" s="1"/>
  <c r="F44" i="64"/>
  <c r="F82" i="61"/>
  <c r="F29" i="68" s="1"/>
  <c r="D120" i="61"/>
  <c r="C120" s="1"/>
  <c r="D31"/>
  <c r="C31" s="1"/>
  <c r="D47"/>
  <c r="C47" s="1"/>
  <c r="D52"/>
  <c r="D13"/>
  <c r="E33"/>
  <c r="E32" i="64"/>
  <c r="E51"/>
  <c r="E52" i="61"/>
  <c r="E51" s="1"/>
  <c r="C146" i="64"/>
  <c r="H146" s="1"/>
  <c r="H148"/>
  <c r="K18" i="85"/>
  <c r="I250" i="84"/>
  <c r="H249"/>
  <c r="F25" i="67"/>
  <c r="C40" i="64"/>
  <c r="H40" s="1"/>
  <c r="G12" i="72"/>
  <c r="H12" s="1"/>
  <c r="I12" s="1"/>
  <c r="J12" s="1"/>
  <c r="K12" s="1"/>
  <c r="L12" s="1"/>
  <c r="M12" s="1"/>
  <c r="N12" s="1"/>
  <c r="O12" s="1"/>
  <c r="P12" s="1"/>
  <c r="Q12" s="1"/>
  <c r="R12" s="1"/>
  <c r="S12" s="1"/>
  <c r="T12" s="1"/>
  <c r="U12" s="1"/>
  <c r="F13" i="90"/>
  <c r="C41" i="67"/>
  <c r="H41" s="1"/>
  <c r="C118" i="64"/>
  <c r="M88" i="84"/>
  <c r="M89" s="1"/>
  <c r="G18" i="85"/>
  <c r="G19" s="1"/>
  <c r="N89" i="84"/>
  <c r="F124" i="61"/>
  <c r="F123" s="1"/>
  <c r="K15" i="68" s="1"/>
  <c r="F123" i="64"/>
  <c r="D58"/>
  <c r="C59"/>
  <c r="D51"/>
  <c r="C52"/>
  <c r="C40" i="67"/>
  <c r="H40" s="1"/>
  <c r="I15" i="70"/>
  <c r="J15" s="1"/>
  <c r="C242" i="64"/>
  <c r="H242" s="1"/>
  <c r="H239"/>
  <c r="D159"/>
  <c r="C161"/>
  <c r="E154" i="76"/>
  <c r="H154" i="61"/>
  <c r="H182"/>
  <c r="E182" i="76"/>
  <c r="F150" i="64"/>
  <c r="F152" i="61"/>
  <c r="F150" s="1"/>
  <c r="D54"/>
  <c r="C54" s="1"/>
  <c r="F41"/>
  <c r="D48"/>
  <c r="C48" s="1"/>
  <c r="F110" i="67"/>
  <c r="E123" i="64"/>
  <c r="E124" i="61"/>
  <c r="E123" s="1"/>
  <c r="J15" i="68" s="1"/>
  <c r="D124" i="61"/>
  <c r="C122" i="67"/>
  <c r="H122" s="1"/>
  <c r="D122" i="61"/>
  <c r="C122" s="1"/>
  <c r="G15" i="85"/>
  <c r="G17" s="1"/>
  <c r="M81" i="84"/>
  <c r="M87" s="1"/>
  <c r="N87"/>
  <c r="E143" i="76"/>
  <c r="H143" i="61"/>
  <c r="C45" i="64"/>
  <c r="D44"/>
  <c r="E150"/>
  <c r="E152" i="61"/>
  <c r="E150" s="1"/>
  <c r="C166" i="64"/>
  <c r="D165"/>
  <c r="D146" i="61"/>
  <c r="D133"/>
  <c r="C82" i="64"/>
  <c r="H82" s="1"/>
  <c r="I89" i="84"/>
  <c r="C18" i="85"/>
  <c r="F58" i="64"/>
  <c r="F59" i="61"/>
  <c r="F58" s="1"/>
  <c r="F11" i="69" s="1"/>
  <c r="D116" i="64"/>
  <c r="C75"/>
  <c r="H75" s="1"/>
  <c r="E163" i="76"/>
  <c r="H163" i="61"/>
  <c r="E116" i="64"/>
  <c r="E82" i="61"/>
  <c r="E29" i="68" s="1"/>
  <c r="D19" i="61"/>
  <c r="C19" s="1"/>
  <c r="D46"/>
  <c r="C46" s="1"/>
  <c r="D77"/>
  <c r="D242"/>
  <c r="E161"/>
  <c r="E159" s="1"/>
  <c r="J11" i="69" s="1"/>
  <c r="E159" i="64"/>
  <c r="P48" i="85"/>
  <c r="P49" s="1"/>
  <c r="O293" i="84"/>
  <c r="N292"/>
  <c r="N293" s="1"/>
  <c r="N286"/>
  <c r="N291" s="1"/>
  <c r="O291"/>
  <c r="P44" i="85"/>
  <c r="P47" s="1"/>
  <c r="C83" i="64"/>
  <c r="H83" s="1"/>
  <c r="H288" i="84"/>
  <c r="G288" s="1"/>
  <c r="K46" i="85"/>
  <c r="S46" s="1"/>
  <c r="C124" i="64"/>
  <c r="D123"/>
  <c r="H128" i="61"/>
  <c r="E128" i="76"/>
  <c r="C185" i="61"/>
  <c r="I26" i="68"/>
  <c r="D226" i="61"/>
  <c r="H183"/>
  <c r="E183" i="76"/>
  <c r="D161" i="61"/>
  <c r="E12" i="64"/>
  <c r="E11" s="1"/>
  <c r="E13" i="61"/>
  <c r="E12" s="1"/>
  <c r="E11" s="1"/>
  <c r="D64" i="64"/>
  <c r="C65"/>
  <c r="D33" i="61"/>
  <c r="C239" i="67"/>
  <c r="D242"/>
  <c r="D146"/>
  <c r="C148"/>
  <c r="F24" i="79"/>
  <c r="G24" s="1"/>
  <c r="H145" i="61"/>
  <c r="E145" i="76"/>
  <c r="E15" i="90"/>
  <c r="E16" s="1"/>
  <c r="E38" s="1"/>
  <c r="E41" s="1"/>
  <c r="T8" i="85"/>
  <c r="W8" s="1"/>
  <c r="D66" i="61"/>
  <c r="C66" s="1"/>
  <c r="E144" i="76"/>
  <c r="H144" i="61"/>
  <c r="H155"/>
  <c r="E155" i="76"/>
  <c r="C186" i="61"/>
  <c r="I27" i="68"/>
  <c r="H27" s="1"/>
  <c r="E223" i="67"/>
  <c r="C41" i="64"/>
  <c r="H41" s="1"/>
  <c r="H134" i="61"/>
  <c r="E134" i="76"/>
  <c r="F226" i="61"/>
  <c r="K26" i="68"/>
  <c r="C30" i="64"/>
  <c r="H30" s="1"/>
  <c r="H162" i="61"/>
  <c r="E162" i="76"/>
  <c r="E131"/>
  <c r="H131" i="61"/>
  <c r="D226" i="67"/>
  <c r="C185"/>
  <c r="F52" i="61"/>
  <c r="F51" s="1"/>
  <c r="F51" i="64"/>
  <c r="H136" i="61"/>
  <c r="E136" i="76"/>
  <c r="C75" i="67"/>
  <c r="H75" s="1"/>
  <c r="D53" i="61"/>
  <c r="C53" s="1"/>
  <c r="D189"/>
  <c r="F148"/>
  <c r="F146" s="1"/>
  <c r="D21"/>
  <c r="C21" s="1"/>
  <c r="E149" i="67"/>
  <c r="F239" i="61"/>
  <c r="F242" s="1"/>
  <c r="D39"/>
  <c r="C39" s="1"/>
  <c r="D18"/>
  <c r="C18" s="1"/>
  <c r="F12" i="64"/>
  <c r="F11" s="1"/>
  <c r="F13" i="61"/>
  <c r="F12" s="1"/>
  <c r="F11" s="1"/>
  <c r="E132" i="64"/>
  <c r="E133" i="61"/>
  <c r="C190"/>
  <c r="I31" i="68"/>
  <c r="H31" s="1"/>
  <c r="H141" i="61"/>
  <c r="E141" i="76"/>
  <c r="H135" i="61"/>
  <c r="E135" i="76"/>
  <c r="D12" i="64"/>
  <c r="D11" s="1"/>
  <c r="C13"/>
  <c r="E25" i="67"/>
  <c r="H242" i="84"/>
  <c r="I248"/>
  <c r="K15" i="85"/>
  <c r="F159" i="64"/>
  <c r="F161" i="61"/>
  <c r="F159" s="1"/>
  <c r="K11" i="69" s="1"/>
  <c r="F165" i="64"/>
  <c r="F166" i="61"/>
  <c r="F165" s="1"/>
  <c r="K13" i="69" s="1"/>
  <c r="F10" i="90"/>
  <c r="F14" i="72"/>
  <c r="F15" s="1"/>
  <c r="F37" s="1"/>
  <c r="F40" i="90" s="1"/>
  <c r="G9" i="72"/>
  <c r="I87" i="84"/>
  <c r="C15" i="85"/>
  <c r="D45" i="61"/>
  <c r="E226"/>
  <c r="J26" i="68"/>
  <c r="P50" i="85"/>
  <c r="P51" s="1"/>
  <c r="N294" i="84"/>
  <c r="N295" s="1"/>
  <c r="O295"/>
  <c r="F15" i="70"/>
  <c r="H9"/>
  <c r="H185" i="64"/>
  <c r="C226"/>
  <c r="H226" s="1"/>
  <c r="E110" i="67"/>
  <c r="F65" i="61"/>
  <c r="F64" s="1"/>
  <c r="F13" i="69" s="1"/>
  <c r="F64" i="64"/>
  <c r="E165"/>
  <c r="E166" i="61"/>
  <c r="E165" s="1"/>
  <c r="J13" i="69" s="1"/>
  <c r="E75" i="61"/>
  <c r="E22" i="68" s="1"/>
  <c r="F30" i="61"/>
  <c r="D42"/>
  <c r="C42" s="1"/>
  <c r="D28"/>
  <c r="C28" s="1"/>
  <c r="E44" i="64"/>
  <c r="E45" i="61"/>
  <c r="E44" s="1"/>
  <c r="E15" i="68" s="1"/>
  <c r="C83" i="67"/>
  <c r="H83" s="1"/>
  <c r="F33" i="61"/>
  <c r="F32" i="64"/>
  <c r="H140" i="61"/>
  <c r="E140" i="76"/>
  <c r="C152" i="64"/>
  <c r="D150"/>
  <c r="E64"/>
  <c r="E65" i="61"/>
  <c r="E64" s="1"/>
  <c r="E13" i="69" s="1"/>
  <c r="F223" i="67"/>
  <c r="C30"/>
  <c r="H30" s="1"/>
  <c r="F133" i="61"/>
  <c r="F132" i="64"/>
  <c r="H187" i="61"/>
  <c r="E187" i="76"/>
  <c r="M7" i="84"/>
  <c r="M80" s="1"/>
  <c r="G6" i="85"/>
  <c r="G14" s="1"/>
  <c r="N80" i="84"/>
  <c r="E156" i="76"/>
  <c r="H156" i="61"/>
  <c r="F77" i="70"/>
  <c r="H77" s="1"/>
  <c r="H75"/>
  <c r="H287" i="84"/>
  <c r="G287" s="1"/>
  <c r="K45" i="85"/>
  <c r="I80" i="84"/>
  <c r="C6" i="85"/>
  <c r="E175" i="76"/>
  <c r="H175" i="61"/>
  <c r="F32" i="79"/>
  <c r="G32" s="1"/>
  <c r="H38" i="70"/>
  <c r="F37"/>
  <c r="H167" i="61"/>
  <c r="E167" i="76"/>
  <c r="D65" i="61"/>
  <c r="C121" i="67"/>
  <c r="H121" s="1"/>
  <c r="D121" i="61"/>
  <c r="C121" s="1"/>
  <c r="F116" i="67"/>
  <c r="E168" i="76"/>
  <c r="H168" i="61"/>
  <c r="D132" i="64"/>
  <c r="C133"/>
  <c r="E83" i="61"/>
  <c r="E30" i="68" s="1"/>
  <c r="D22" i="61"/>
  <c r="C22" s="1"/>
  <c r="D63"/>
  <c r="C63" s="1"/>
  <c r="D68"/>
  <c r="C68" s="1"/>
  <c r="D61"/>
  <c r="C61" s="1"/>
  <c r="D181"/>
  <c r="E30"/>
  <c r="F149" i="67"/>
  <c r="D113" i="61"/>
  <c r="C113" s="1"/>
  <c r="T10" i="85" l="1"/>
  <c r="W10" s="1"/>
  <c r="O20"/>
  <c r="N52"/>
  <c r="N70" s="1"/>
  <c r="N72" s="1"/>
  <c r="C188" i="61"/>
  <c r="Q70" i="85"/>
  <c r="Q72" s="1"/>
  <c r="L90" i="84"/>
  <c r="P296"/>
  <c r="P319" s="1"/>
  <c r="L296"/>
  <c r="L319" s="1"/>
  <c r="P90"/>
  <c r="Q296"/>
  <c r="Q319" s="1"/>
  <c r="E43" i="76"/>
  <c r="E35"/>
  <c r="H36" i="61"/>
  <c r="E16" i="76"/>
  <c r="H37" i="61"/>
  <c r="E27" i="76"/>
  <c r="H20" i="85"/>
  <c r="O130" i="84"/>
  <c r="T11" i="85"/>
  <c r="W11" s="1"/>
  <c r="P132" i="84"/>
  <c r="P135" s="1"/>
  <c r="D15" i="85"/>
  <c r="D17" s="1"/>
  <c r="D20" s="1"/>
  <c r="R52"/>
  <c r="R70" s="1"/>
  <c r="R72" s="1"/>
  <c r="T16"/>
  <c r="W16" s="1"/>
  <c r="K291" i="84"/>
  <c r="O132"/>
  <c r="M48" i="85"/>
  <c r="M49" s="1"/>
  <c r="I50"/>
  <c r="I51" s="1"/>
  <c r="O48"/>
  <c r="O49" s="1"/>
  <c r="K251" i="84"/>
  <c r="C84" i="61"/>
  <c r="F48" i="85"/>
  <c r="F49" s="1"/>
  <c r="T12"/>
  <c r="W12" s="1"/>
  <c r="F50"/>
  <c r="F51" s="1"/>
  <c r="L130" i="84"/>
  <c r="L135" s="1"/>
  <c r="T13" i="85"/>
  <c r="W13" s="1"/>
  <c r="E6"/>
  <c r="E14" s="1"/>
  <c r="K295" i="84"/>
  <c r="F94" i="67"/>
  <c r="F231" s="1"/>
  <c r="F229" s="1"/>
  <c r="F228" s="1"/>
  <c r="M47" i="85"/>
  <c r="S45"/>
  <c r="E10" i="67"/>
  <c r="E70" s="1"/>
  <c r="I44" i="85"/>
  <c r="I47" s="1"/>
  <c r="O44"/>
  <c r="O47" s="1"/>
  <c r="J45"/>
  <c r="H7" i="84"/>
  <c r="G7" s="1"/>
  <c r="G80" s="1"/>
  <c r="J80"/>
  <c r="O50" i="85"/>
  <c r="O51" s="1"/>
  <c r="M6"/>
  <c r="M14" s="1"/>
  <c r="M20" s="1"/>
  <c r="H88" i="84"/>
  <c r="G88" s="1"/>
  <c r="G89" s="1"/>
  <c r="H50" i="85"/>
  <c r="H51" s="1"/>
  <c r="H52" s="1"/>
  <c r="H81" i="84"/>
  <c r="H87" s="1"/>
  <c r="J89"/>
  <c r="K132"/>
  <c r="E15" i="85"/>
  <c r="E17" s="1"/>
  <c r="K87" i="84"/>
  <c r="K90" s="1"/>
  <c r="J134"/>
  <c r="K134"/>
  <c r="H114" i="61"/>
  <c r="K130" i="84"/>
  <c r="J130"/>
  <c r="E18" i="85"/>
  <c r="E19" s="1"/>
  <c r="C19" i="75"/>
  <c r="S19" s="1"/>
  <c r="H119" i="61"/>
  <c r="E119" i="76"/>
  <c r="C80" i="61"/>
  <c r="T46" i="85"/>
  <c r="W46" s="1"/>
  <c r="F10" i="67"/>
  <c r="F70" s="1"/>
  <c r="D28" i="68"/>
  <c r="C28" s="1"/>
  <c r="E55" i="76"/>
  <c r="H55" i="61"/>
  <c r="E132"/>
  <c r="J16" i="68" s="1"/>
  <c r="D82" i="61"/>
  <c r="C82" s="1"/>
  <c r="E37" i="76"/>
  <c r="H43" i="61"/>
  <c r="E20" i="76"/>
  <c r="H20" i="61"/>
  <c r="H56"/>
  <c r="E56" i="76"/>
  <c r="E114"/>
  <c r="J324" i="84"/>
  <c r="J325" s="1"/>
  <c r="H60" i="61"/>
  <c r="E94" i="67"/>
  <c r="E88" s="1"/>
  <c r="E87" s="1"/>
  <c r="E86" s="1"/>
  <c r="G20" i="85"/>
  <c r="E60" i="76"/>
  <c r="E109" i="67"/>
  <c r="H27" i="61"/>
  <c r="E32"/>
  <c r="E13" i="68" s="1"/>
  <c r="H38" i="61"/>
  <c r="E36" i="76"/>
  <c r="F68" i="77"/>
  <c r="G68" s="1"/>
  <c r="H16" i="61"/>
  <c r="E67" i="76"/>
  <c r="F132" i="61"/>
  <c r="K16" i="68" s="1"/>
  <c r="D41" i="61"/>
  <c r="C41" s="1"/>
  <c r="E14" i="76"/>
  <c r="E118" i="61"/>
  <c r="E116" s="1"/>
  <c r="J13" i="68" s="1"/>
  <c r="D25"/>
  <c r="C25" s="1"/>
  <c r="M90" i="84"/>
  <c r="E38" i="76"/>
  <c r="H35" i="61"/>
  <c r="F32" i="77"/>
  <c r="G32" s="1"/>
  <c r="H14" i="61"/>
  <c r="H67"/>
  <c r="C85"/>
  <c r="N90" i="84"/>
  <c r="F32" i="61"/>
  <c r="F13" i="68" s="1"/>
  <c r="H49" i="61"/>
  <c r="E49" i="76"/>
  <c r="I90" i="84"/>
  <c r="M296"/>
  <c r="M319" s="1"/>
  <c r="E215" i="67"/>
  <c r="D40" i="61"/>
  <c r="C40" s="1"/>
  <c r="C65"/>
  <c r="D64"/>
  <c r="D13" i="69" s="1"/>
  <c r="C13" s="1"/>
  <c r="D159" i="61"/>
  <c r="I11" i="69" s="1"/>
  <c r="H11" s="1"/>
  <c r="C161" i="61"/>
  <c r="H53"/>
  <c r="E53" i="76"/>
  <c r="S18" i="85"/>
  <c r="K19"/>
  <c r="D165" i="67"/>
  <c r="C166"/>
  <c r="E120" i="76"/>
  <c r="H120" i="61"/>
  <c r="C33"/>
  <c r="H17"/>
  <c r="E17" i="76"/>
  <c r="F94" i="77"/>
  <c r="G94" s="1"/>
  <c r="E121" i="76"/>
  <c r="H121" i="61"/>
  <c r="F76"/>
  <c r="F223" i="64"/>
  <c r="H152"/>
  <c r="C150"/>
  <c r="H294" i="84"/>
  <c r="I295"/>
  <c r="K50" i="85"/>
  <c r="I134" i="84"/>
  <c r="C50" i="85"/>
  <c r="C13" i="61"/>
  <c r="D12"/>
  <c r="D11" s="1"/>
  <c r="H239" i="67"/>
  <c r="C242"/>
  <c r="H242" s="1"/>
  <c r="I45" i="70"/>
  <c r="J45" s="1"/>
  <c r="C226" i="61"/>
  <c r="H185"/>
  <c r="E185" i="76"/>
  <c r="E226" s="1"/>
  <c r="D123" i="61"/>
  <c r="I15" i="68" s="1"/>
  <c r="H15" s="1"/>
  <c r="C124" i="61"/>
  <c r="D110" i="64"/>
  <c r="D109" s="1"/>
  <c r="C112"/>
  <c r="H45"/>
  <c r="C44"/>
  <c r="H44" s="1"/>
  <c r="E122" i="76"/>
  <c r="H122" i="61"/>
  <c r="H59" i="64"/>
  <c r="C58"/>
  <c r="H58" s="1"/>
  <c r="D83" i="61"/>
  <c r="C133"/>
  <c r="D132"/>
  <c r="I16" i="68" s="1"/>
  <c r="F45" i="70"/>
  <c r="H45" s="1"/>
  <c r="H37"/>
  <c r="C77" i="61"/>
  <c r="D24" i="68"/>
  <c r="C24" s="1"/>
  <c r="D44" i="61"/>
  <c r="D15" i="68" s="1"/>
  <c r="C15" s="1"/>
  <c r="C45" i="61"/>
  <c r="H22"/>
  <c r="E22" i="76"/>
  <c r="C132" i="64"/>
  <c r="H132" s="1"/>
  <c r="H133"/>
  <c r="D150" i="61"/>
  <c r="C152"/>
  <c r="F9" i="68"/>
  <c r="C226" i="67"/>
  <c r="H226" s="1"/>
  <c r="H185"/>
  <c r="H66" i="61"/>
  <c r="E66" i="76"/>
  <c r="C123" i="64"/>
  <c r="H123" s="1"/>
  <c r="H124"/>
  <c r="C133" i="67"/>
  <c r="D132"/>
  <c r="E179"/>
  <c r="E178" s="1"/>
  <c r="E177" s="1"/>
  <c r="E207" s="1"/>
  <c r="E227"/>
  <c r="E225" s="1"/>
  <c r="D73" i="64"/>
  <c r="D72" s="1"/>
  <c r="D71" s="1"/>
  <c r="D101" s="1"/>
  <c r="C74"/>
  <c r="D224"/>
  <c r="D58" i="61"/>
  <c r="D11" i="69" s="1"/>
  <c r="C11" s="1"/>
  <c r="C59" i="61"/>
  <c r="G249" i="84"/>
  <c r="G250" s="1"/>
  <c r="H250"/>
  <c r="E78" i="76"/>
  <c r="H78" i="61"/>
  <c r="P52" i="85"/>
  <c r="P70" s="1"/>
  <c r="P72" s="1"/>
  <c r="F15" i="90"/>
  <c r="F16" s="1"/>
  <c r="F38" s="1"/>
  <c r="F41" s="1"/>
  <c r="H26" i="68"/>
  <c r="C239" i="61"/>
  <c r="E50" i="64"/>
  <c r="F215" i="67"/>
  <c r="H61" i="61"/>
  <c r="E61" i="76"/>
  <c r="E63"/>
  <c r="H63" i="61"/>
  <c r="H42"/>
  <c r="E42" i="76"/>
  <c r="E26" i="61"/>
  <c r="E25" s="1"/>
  <c r="E11" i="68" s="1"/>
  <c r="E25" i="64"/>
  <c r="E10" s="1"/>
  <c r="D112" i="61"/>
  <c r="D44" i="67"/>
  <c r="C45"/>
  <c r="H13" i="64"/>
  <c r="C12"/>
  <c r="F9" i="69"/>
  <c r="F8" s="1"/>
  <c r="F50" i="61"/>
  <c r="C180" i="64"/>
  <c r="E223"/>
  <c r="E76" i="61"/>
  <c r="F112"/>
  <c r="F110" s="1"/>
  <c r="F110" i="64"/>
  <c r="F73"/>
  <c r="F72" s="1"/>
  <c r="F71" s="1"/>
  <c r="F101" s="1"/>
  <c r="F74" i="61"/>
  <c r="F224" i="64"/>
  <c r="H168" i="84"/>
  <c r="I241"/>
  <c r="I251" s="1"/>
  <c r="K6" i="85"/>
  <c r="F180" i="61"/>
  <c r="C159" i="64"/>
  <c r="H159" s="1"/>
  <c r="H161"/>
  <c r="C52" i="61"/>
  <c r="D51"/>
  <c r="F118"/>
  <c r="F116" s="1"/>
  <c r="K13" i="68" s="1"/>
  <c r="F116" i="64"/>
  <c r="D76" i="61"/>
  <c r="E9" i="69"/>
  <c r="E8" s="1"/>
  <c r="E50" i="61"/>
  <c r="D51" i="67"/>
  <c r="C52"/>
  <c r="E31" i="76"/>
  <c r="H31" i="61"/>
  <c r="D149" i="64"/>
  <c r="D75" i="61"/>
  <c r="C148"/>
  <c r="E149" i="64"/>
  <c r="E113" i="76"/>
  <c r="H113" i="61"/>
  <c r="I132" i="84"/>
  <c r="C48" i="85"/>
  <c r="E9" i="68"/>
  <c r="F227" i="67"/>
  <c r="F225" s="1"/>
  <c r="F179"/>
  <c r="F178" s="1"/>
  <c r="F177" s="1"/>
  <c r="F207" s="1"/>
  <c r="E28" i="76"/>
  <c r="H28" i="61"/>
  <c r="H9" i="72"/>
  <c r="G14"/>
  <c r="G15" s="1"/>
  <c r="G37" s="1"/>
  <c r="G242" i="84"/>
  <c r="G248" s="1"/>
  <c r="H248"/>
  <c r="M133"/>
  <c r="M134" s="1"/>
  <c r="N134"/>
  <c r="G50" i="85"/>
  <c r="G51" s="1"/>
  <c r="H34" i="61"/>
  <c r="E34" i="76"/>
  <c r="C161" i="67"/>
  <c r="D159"/>
  <c r="E149" i="61"/>
  <c r="J9" i="69"/>
  <c r="J8" s="1"/>
  <c r="C26" i="64"/>
  <c r="D25"/>
  <c r="D10" s="1"/>
  <c r="E54" i="76"/>
  <c r="H54" i="61"/>
  <c r="E110" i="64"/>
  <c r="E109" s="1"/>
  <c r="E112" i="61"/>
  <c r="E110" s="1"/>
  <c r="C13" i="67"/>
  <c r="D12"/>
  <c r="D11" s="1"/>
  <c r="D150"/>
  <c r="C152"/>
  <c r="F50" i="64"/>
  <c r="F149"/>
  <c r="D50"/>
  <c r="K48" i="85"/>
  <c r="H292" i="84"/>
  <c r="I293"/>
  <c r="C181" i="61"/>
  <c r="I22" i="68"/>
  <c r="H22" s="1"/>
  <c r="D74" i="61"/>
  <c r="C14" i="85"/>
  <c r="D223" i="64"/>
  <c r="C76"/>
  <c r="H190" i="61"/>
  <c r="E190" i="76"/>
  <c r="E62"/>
  <c r="H62" i="61"/>
  <c r="H29"/>
  <c r="E29" i="76"/>
  <c r="D123" i="67"/>
  <c r="C124"/>
  <c r="H48" i="61"/>
  <c r="E48" i="76"/>
  <c r="K9" i="69"/>
  <c r="K8" s="1"/>
  <c r="F149" i="61"/>
  <c r="C51" i="64"/>
  <c r="H52"/>
  <c r="E180" i="61"/>
  <c r="H15" i="70"/>
  <c r="G48" i="85"/>
  <c r="G49" s="1"/>
  <c r="M131" i="84"/>
  <c r="M132" s="1"/>
  <c r="N132"/>
  <c r="C17" i="85"/>
  <c r="K17"/>
  <c r="S15"/>
  <c r="H81" i="61"/>
  <c r="E81" i="76"/>
  <c r="H39" i="61"/>
  <c r="E39" i="76"/>
  <c r="E21"/>
  <c r="H21" i="61"/>
  <c r="I30" i="68"/>
  <c r="H30" s="1"/>
  <c r="C189" i="61"/>
  <c r="F26"/>
  <c r="F25" s="1"/>
  <c r="F11" i="68" s="1"/>
  <c r="F25" i="64"/>
  <c r="F10" s="1"/>
  <c r="E186" i="76"/>
  <c r="H186" i="61"/>
  <c r="E23" i="76"/>
  <c r="H23" i="61"/>
  <c r="C146" i="67"/>
  <c r="H146" s="1"/>
  <c r="H148"/>
  <c r="C64" i="64"/>
  <c r="H64" s="1"/>
  <c r="H65"/>
  <c r="E19" i="76"/>
  <c r="H19" i="61"/>
  <c r="C165" i="64"/>
  <c r="H165" s="1"/>
  <c r="H166"/>
  <c r="C44" i="85"/>
  <c r="I130" i="84"/>
  <c r="C32" i="64"/>
  <c r="H32" s="1"/>
  <c r="H33"/>
  <c r="C59" i="67"/>
  <c r="D58"/>
  <c r="N296" i="84"/>
  <c r="N319" s="1"/>
  <c r="F109" i="67"/>
  <c r="E69" i="76"/>
  <c r="H69" i="61"/>
  <c r="E68" i="76"/>
  <c r="H68" i="61"/>
  <c r="D64" i="67"/>
  <c r="C65"/>
  <c r="H18" i="61"/>
  <c r="E18" i="76"/>
  <c r="N130" i="84"/>
  <c r="M125"/>
  <c r="M130" s="1"/>
  <c r="G44" i="85"/>
  <c r="G47" s="1"/>
  <c r="I291" i="84"/>
  <c r="K44" i="85"/>
  <c r="H286" i="84"/>
  <c r="D26" i="61"/>
  <c r="C33" i="67"/>
  <c r="D32"/>
  <c r="E46" i="76"/>
  <c r="H46" i="61"/>
  <c r="E73" i="64"/>
  <c r="E72" s="1"/>
  <c r="E71" s="1"/>
  <c r="E101" s="1"/>
  <c r="E74" i="61"/>
  <c r="E224" i="64"/>
  <c r="C116"/>
  <c r="H118"/>
  <c r="C19" i="85"/>
  <c r="E47" i="76"/>
  <c r="H47" i="61"/>
  <c r="D30"/>
  <c r="C30" s="1"/>
  <c r="O296" i="84"/>
  <c r="O319" s="1"/>
  <c r="D166" i="61"/>
  <c r="E188" i="76" l="1"/>
  <c r="H188" i="61"/>
  <c r="L158" i="84"/>
  <c r="P158"/>
  <c r="H226" i="61"/>
  <c r="H40"/>
  <c r="H85"/>
  <c r="E84" i="76"/>
  <c r="H70" i="85"/>
  <c r="H72" s="1"/>
  <c r="O135" i="84"/>
  <c r="O158" s="1"/>
  <c r="E214" i="67"/>
  <c r="E213" s="1"/>
  <c r="K296" i="84"/>
  <c r="K319" s="1"/>
  <c r="I52" i="85"/>
  <c r="I70" s="1"/>
  <c r="I72" s="1"/>
  <c r="M52"/>
  <c r="M70" s="1"/>
  <c r="M72" s="1"/>
  <c r="F52"/>
  <c r="F70" s="1"/>
  <c r="F199" i="64"/>
  <c r="F194" s="1"/>
  <c r="F193" s="1"/>
  <c r="F192" s="1"/>
  <c r="H84" i="61"/>
  <c r="F88" i="67"/>
  <c r="F87" s="1"/>
  <c r="F86" s="1"/>
  <c r="J90" i="84"/>
  <c r="J6" i="85"/>
  <c r="J14" s="1"/>
  <c r="E44"/>
  <c r="E47" s="1"/>
  <c r="J18"/>
  <c r="J19" s="1"/>
  <c r="J15"/>
  <c r="J17" s="1"/>
  <c r="T45"/>
  <c r="W45" s="1"/>
  <c r="G81" i="84"/>
  <c r="G87" s="1"/>
  <c r="G90" s="1"/>
  <c r="E80" i="76"/>
  <c r="H80" i="61"/>
  <c r="O52" i="85"/>
  <c r="O70" s="1"/>
  <c r="D44"/>
  <c r="D47" s="1"/>
  <c r="H80" i="84"/>
  <c r="H131"/>
  <c r="G131" s="1"/>
  <c r="G132" s="1"/>
  <c r="E48" i="85"/>
  <c r="E49" s="1"/>
  <c r="H125" i="84"/>
  <c r="G125" s="1"/>
  <c r="G130" s="1"/>
  <c r="H89"/>
  <c r="D50" i="85"/>
  <c r="D51" s="1"/>
  <c r="E20"/>
  <c r="K135" i="84"/>
  <c r="K158" s="1"/>
  <c r="E50" i="85"/>
  <c r="E51" s="1"/>
  <c r="H133" i="84"/>
  <c r="G133" s="1"/>
  <c r="G134" s="1"/>
  <c r="J132"/>
  <c r="J135" s="1"/>
  <c r="D48" i="85"/>
  <c r="D49" s="1"/>
  <c r="R19" i="75"/>
  <c r="T19" s="1"/>
  <c r="F214" i="67"/>
  <c r="F213" s="1"/>
  <c r="D29" i="68"/>
  <c r="C29" s="1"/>
  <c r="E231" i="67"/>
  <c r="E229" s="1"/>
  <c r="E228" s="1"/>
  <c r="E199" i="64"/>
  <c r="E194" s="1"/>
  <c r="E193" s="1"/>
  <c r="E192" s="1"/>
  <c r="E176" i="67"/>
  <c r="E208" s="1"/>
  <c r="E40" i="76"/>
  <c r="E85"/>
  <c r="H116" i="64"/>
  <c r="F64" i="70"/>
  <c r="H64" s="1"/>
  <c r="H16" i="68"/>
  <c r="F8"/>
  <c r="D222" i="64"/>
  <c r="D32" i="61"/>
  <c r="D13" i="68" s="1"/>
  <c r="C13" s="1"/>
  <c r="M135" i="84"/>
  <c r="M158" s="1"/>
  <c r="F215" i="64"/>
  <c r="D149" i="67"/>
  <c r="D215" i="64"/>
  <c r="I135" i="84"/>
  <c r="I158" s="1"/>
  <c r="E10" i="61"/>
  <c r="E70" s="1"/>
  <c r="E215" i="64"/>
  <c r="C20" i="85"/>
  <c r="E41" i="76"/>
  <c r="E222" i="64"/>
  <c r="N135" i="84"/>
  <c r="N158" s="1"/>
  <c r="H41" i="61"/>
  <c r="E176" i="64"/>
  <c r="I296" i="84"/>
  <c r="I319" s="1"/>
  <c r="E8" i="68"/>
  <c r="C112" i="61"/>
  <c r="D110"/>
  <c r="D224"/>
  <c r="D21" i="68"/>
  <c r="C74" i="61"/>
  <c r="D73"/>
  <c r="D72" s="1"/>
  <c r="D71" s="1"/>
  <c r="D101" s="1"/>
  <c r="C76"/>
  <c r="D23" i="68"/>
  <c r="D223" i="61"/>
  <c r="C26"/>
  <c r="D25"/>
  <c r="D11" i="68" s="1"/>
  <c r="C11" s="1"/>
  <c r="F223" i="61"/>
  <c r="F23" i="68"/>
  <c r="E21"/>
  <c r="E73" i="61"/>
  <c r="E72" s="1"/>
  <c r="E71" s="1"/>
  <c r="E101" s="1"/>
  <c r="E224"/>
  <c r="E161" i="76"/>
  <c r="E159" s="1"/>
  <c r="C159" i="61"/>
  <c r="H161"/>
  <c r="H59" i="67"/>
  <c r="C58"/>
  <c r="H58" s="1"/>
  <c r="J33" i="69"/>
  <c r="E34"/>
  <c r="K21" i="68"/>
  <c r="K20" s="1"/>
  <c r="K19" s="1"/>
  <c r="K18" s="1"/>
  <c r="F179" i="61"/>
  <c r="F178" s="1"/>
  <c r="F177" s="1"/>
  <c r="F207" s="1"/>
  <c r="F227"/>
  <c r="F225" s="1"/>
  <c r="E23" i="68"/>
  <c r="E223" i="61"/>
  <c r="H45" i="67"/>
  <c r="C44"/>
  <c r="H44" s="1"/>
  <c r="D165" i="61"/>
  <c r="I13" i="69" s="1"/>
  <c r="H13" s="1"/>
  <c r="C166" i="61"/>
  <c r="C32" i="67"/>
  <c r="H32" s="1"/>
  <c r="H33"/>
  <c r="F176"/>
  <c r="F208" s="1"/>
  <c r="F79"/>
  <c r="H189" i="61"/>
  <c r="E189" i="76"/>
  <c r="C50" i="64"/>
  <c r="H51"/>
  <c r="H124" i="67"/>
  <c r="C123"/>
  <c r="H123" s="1"/>
  <c r="D227"/>
  <c r="D225" s="1"/>
  <c r="C180"/>
  <c r="D179"/>
  <c r="D178" s="1"/>
  <c r="D177" s="1"/>
  <c r="D207" s="1"/>
  <c r="H181" i="61"/>
  <c r="E181" i="76"/>
  <c r="H13" i="67"/>
  <c r="C12"/>
  <c r="C25" i="64"/>
  <c r="H25" s="1"/>
  <c r="H26"/>
  <c r="E33" i="69"/>
  <c r="J34"/>
  <c r="E52" i="76"/>
  <c r="E51" s="1"/>
  <c r="F134" i="77"/>
  <c r="G134" s="1"/>
  <c r="C51" i="61"/>
  <c r="H52"/>
  <c r="F73"/>
  <c r="F72" s="1"/>
  <c r="F71" s="1"/>
  <c r="F101" s="1"/>
  <c r="F224"/>
  <c r="F21" i="68"/>
  <c r="K34" i="69"/>
  <c r="F33"/>
  <c r="C242" i="61"/>
  <c r="H239"/>
  <c r="E239" i="76"/>
  <c r="E242" s="1"/>
  <c r="I64" i="70"/>
  <c r="J64" s="1"/>
  <c r="H45" i="61"/>
  <c r="E45" i="76"/>
  <c r="E44" s="1"/>
  <c r="C44" i="61"/>
  <c r="D30" i="68"/>
  <c r="C30" s="1"/>
  <c r="C83" i="61"/>
  <c r="G52" i="85"/>
  <c r="G70" s="1"/>
  <c r="G72" s="1"/>
  <c r="E79" i="67"/>
  <c r="F222" i="64"/>
  <c r="K14" i="85"/>
  <c r="K20" s="1"/>
  <c r="S6"/>
  <c r="E109" i="61"/>
  <c r="E176" s="1"/>
  <c r="J9" i="68"/>
  <c r="J8" s="1"/>
  <c r="E227" i="61"/>
  <c r="E225" s="1"/>
  <c r="E179"/>
  <c r="E178" s="1"/>
  <c r="E177" s="1"/>
  <c r="E207" s="1"/>
  <c r="J21" i="68"/>
  <c r="J20" s="1"/>
  <c r="J19" s="1"/>
  <c r="J18" s="1"/>
  <c r="D70" i="64"/>
  <c r="D102" s="1"/>
  <c r="D214"/>
  <c r="D9" i="69"/>
  <c r="D50" i="61"/>
  <c r="H12" i="64"/>
  <c r="C11"/>
  <c r="C51" i="85"/>
  <c r="E215" i="61"/>
  <c r="F215"/>
  <c r="F10"/>
  <c r="F70" i="64"/>
  <c r="F102" s="1"/>
  <c r="C49" i="85"/>
  <c r="E82" i="76"/>
  <c r="H82" i="61"/>
  <c r="H74" i="64"/>
  <c r="C73"/>
  <c r="C224"/>
  <c r="H224" s="1"/>
  <c r="I9" i="69"/>
  <c r="C123" i="61"/>
  <c r="E124" i="76"/>
  <c r="E123" s="1"/>
  <c r="H124" i="61"/>
  <c r="H150" i="64"/>
  <c r="C149"/>
  <c r="H149" s="1"/>
  <c r="S19" i="85"/>
  <c r="D50" i="67"/>
  <c r="D180" i="61"/>
  <c r="C64" i="67"/>
  <c r="H64" s="1"/>
  <c r="H65"/>
  <c r="H291" i="84"/>
  <c r="G286"/>
  <c r="G291" s="1"/>
  <c r="C223" i="64"/>
  <c r="H76"/>
  <c r="S48" i="85"/>
  <c r="K49"/>
  <c r="H52" i="67"/>
  <c r="C51"/>
  <c r="C118"/>
  <c r="D116"/>
  <c r="D118" i="61"/>
  <c r="K9" i="68"/>
  <c r="K8" s="1"/>
  <c r="F109" i="61"/>
  <c r="F176" s="1"/>
  <c r="H180" i="64"/>
  <c r="E70"/>
  <c r="E102" s="1"/>
  <c r="E214"/>
  <c r="H152" i="61"/>
  <c r="C150"/>
  <c r="E152" i="76"/>
  <c r="E150" s="1"/>
  <c r="H77" i="61"/>
  <c r="E77" i="76"/>
  <c r="E133"/>
  <c r="H133" i="61"/>
  <c r="C12"/>
  <c r="H13"/>
  <c r="E13" i="76"/>
  <c r="E12" s="1"/>
  <c r="E11" s="1"/>
  <c r="F26" i="77"/>
  <c r="G26" s="1"/>
  <c r="H295" i="84"/>
  <c r="G294"/>
  <c r="G295" s="1"/>
  <c r="H33" i="61"/>
  <c r="C32"/>
  <c r="E33" i="76"/>
  <c r="E30"/>
  <c r="H30" i="61"/>
  <c r="F34" i="69"/>
  <c r="K33"/>
  <c r="C150" i="67"/>
  <c r="H152"/>
  <c r="C76"/>
  <c r="D223"/>
  <c r="C58" i="61"/>
  <c r="H59"/>
  <c r="E59" i="76"/>
  <c r="E58" s="1"/>
  <c r="C47" i="85"/>
  <c r="H293" i="84"/>
  <c r="G292"/>
  <c r="G293" s="1"/>
  <c r="C159" i="67"/>
  <c r="H159" s="1"/>
  <c r="H161"/>
  <c r="H241" i="84"/>
  <c r="H251" s="1"/>
  <c r="G168"/>
  <c r="G241" s="1"/>
  <c r="G251" s="1"/>
  <c r="D110" i="67"/>
  <c r="C112"/>
  <c r="D9" i="68"/>
  <c r="F109" i="64"/>
  <c r="F176" s="1"/>
  <c r="E148" i="76"/>
  <c r="E146" s="1"/>
  <c r="C146" i="61"/>
  <c r="H148"/>
  <c r="C110" i="64"/>
  <c r="H112"/>
  <c r="C64" i="61"/>
  <c r="H65"/>
  <c r="E65" i="76"/>
  <c r="E64" s="1"/>
  <c r="K47" i="85"/>
  <c r="S44"/>
  <c r="C26" i="67"/>
  <c r="D25"/>
  <c r="D10" s="1"/>
  <c r="S17" i="85"/>
  <c r="C74" i="67"/>
  <c r="I9" i="72"/>
  <c r="H14"/>
  <c r="H15" s="1"/>
  <c r="H37" s="1"/>
  <c r="D22" i="68"/>
  <c r="C22" s="1"/>
  <c r="C75" i="61"/>
  <c r="C132" i="67"/>
  <c r="H132" s="1"/>
  <c r="H133"/>
  <c r="K51" i="85"/>
  <c r="S50"/>
  <c r="H166" i="67"/>
  <c r="C165"/>
  <c r="H165" s="1"/>
  <c r="D176" i="64"/>
  <c r="F234" l="1"/>
  <c r="F232" s="1"/>
  <c r="F228" s="1"/>
  <c r="J158" i="84"/>
  <c r="J20" i="85"/>
  <c r="Y20" s="1"/>
  <c r="T18"/>
  <c r="W18" s="1"/>
  <c r="W19" s="1"/>
  <c r="T15"/>
  <c r="T17" s="1"/>
  <c r="H132" i="84"/>
  <c r="H134"/>
  <c r="H90"/>
  <c r="H130"/>
  <c r="E52" i="85"/>
  <c r="E70" s="1"/>
  <c r="E72" s="1"/>
  <c r="J44"/>
  <c r="J47" s="1"/>
  <c r="J48"/>
  <c r="J49" s="1"/>
  <c r="D52"/>
  <c r="D70" s="1"/>
  <c r="D72" s="1"/>
  <c r="J50"/>
  <c r="J51" s="1"/>
  <c r="F208" i="61"/>
  <c r="K38" i="69" s="1"/>
  <c r="K34" i="68"/>
  <c r="E234" i="64"/>
  <c r="E232" s="1"/>
  <c r="E228" s="1"/>
  <c r="D213"/>
  <c r="J34" i="68"/>
  <c r="F20"/>
  <c r="F19" s="1"/>
  <c r="F18" s="1"/>
  <c r="K35" s="1"/>
  <c r="D94" i="67"/>
  <c r="D199" i="64" s="1"/>
  <c r="F79" i="70"/>
  <c r="H79" s="1"/>
  <c r="D10" i="61"/>
  <c r="D70" s="1"/>
  <c r="D102" s="1"/>
  <c r="D38" i="69" s="1"/>
  <c r="D222" i="61"/>
  <c r="E32" i="76"/>
  <c r="E222" i="61"/>
  <c r="E221" s="1"/>
  <c r="E220" s="1"/>
  <c r="E213" i="64"/>
  <c r="E102" i="61"/>
  <c r="E38" i="69" s="1"/>
  <c r="D215" i="67"/>
  <c r="D109"/>
  <c r="D214" s="1"/>
  <c r="E214" i="61"/>
  <c r="E213" s="1"/>
  <c r="K52" i="85"/>
  <c r="K70" s="1"/>
  <c r="K72" s="1"/>
  <c r="H296" i="84"/>
  <c r="H319" s="1"/>
  <c r="D149" i="61"/>
  <c r="D215" s="1"/>
  <c r="C23" i="68"/>
  <c r="I21"/>
  <c r="C180" i="61"/>
  <c r="D179"/>
  <c r="D178" s="1"/>
  <c r="D177" s="1"/>
  <c r="D207" s="1"/>
  <c r="D227"/>
  <c r="D225" s="1"/>
  <c r="D20" i="68"/>
  <c r="D19" s="1"/>
  <c r="D18" s="1"/>
  <c r="C21"/>
  <c r="H112" i="61"/>
  <c r="E112" i="76"/>
  <c r="E110" s="1"/>
  <c r="C110" i="61"/>
  <c r="G135" i="84"/>
  <c r="C24" i="75"/>
  <c r="I66" i="78"/>
  <c r="J66" s="1"/>
  <c r="H159" i="61"/>
  <c r="P324" i="84"/>
  <c r="P325" s="1"/>
  <c r="H74" i="61"/>
  <c r="C73"/>
  <c r="E74" i="76"/>
  <c r="C224" i="61"/>
  <c r="I9" i="68"/>
  <c r="S14" i="85"/>
  <c r="S20" s="1"/>
  <c r="Z20" s="1"/>
  <c r="T6"/>
  <c r="E184" i="64"/>
  <c r="E73" i="67"/>
  <c r="E72" s="1"/>
  <c r="E71" s="1"/>
  <c r="E101" s="1"/>
  <c r="E102" s="1"/>
  <c r="E224"/>
  <c r="E222" s="1"/>
  <c r="E221" s="1"/>
  <c r="E220" s="1"/>
  <c r="C215" i="64"/>
  <c r="H215" s="1"/>
  <c r="H50"/>
  <c r="E166" i="76"/>
  <c r="E165" s="1"/>
  <c r="E149" s="1"/>
  <c r="H166" i="61"/>
  <c r="C165"/>
  <c r="E50" i="76"/>
  <c r="F222" i="61"/>
  <c r="F221" s="1"/>
  <c r="F220" s="1"/>
  <c r="H12"/>
  <c r="F137" i="77"/>
  <c r="G137" s="1"/>
  <c r="C11" i="61"/>
  <c r="H110" i="64"/>
  <c r="C109"/>
  <c r="C50" i="67"/>
  <c r="H51"/>
  <c r="C21" i="75"/>
  <c r="H123" i="61"/>
  <c r="L324" i="84"/>
  <c r="L325" s="1"/>
  <c r="L321"/>
  <c r="L322" s="1"/>
  <c r="C10" i="75"/>
  <c r="H44" i="61"/>
  <c r="H76"/>
  <c r="E76" i="76"/>
  <c r="C223" i="61"/>
  <c r="C52" i="85"/>
  <c r="C70" s="1"/>
  <c r="C72" s="1"/>
  <c r="G296" i="84"/>
  <c r="G319" s="1"/>
  <c r="F70" i="61"/>
  <c r="F102" s="1"/>
  <c r="F38" i="69" s="1"/>
  <c r="F214" i="61"/>
  <c r="F213" s="1"/>
  <c r="I14" i="72"/>
  <c r="I15" s="1"/>
  <c r="I37" s="1"/>
  <c r="J9"/>
  <c r="S47" i="85"/>
  <c r="C110" i="67"/>
  <c r="H112"/>
  <c r="C116"/>
  <c r="H116" s="1"/>
  <c r="H118"/>
  <c r="H223" i="64"/>
  <c r="C222"/>
  <c r="D8" i="69"/>
  <c r="C9"/>
  <c r="C8" s="1"/>
  <c r="H242" i="61"/>
  <c r="I79" i="70"/>
  <c r="J79" s="1"/>
  <c r="H74" i="67"/>
  <c r="H150"/>
  <c r="C149"/>
  <c r="H149" s="1"/>
  <c r="H9" i="69"/>
  <c r="H8" s="1"/>
  <c r="I8"/>
  <c r="S51" i="85"/>
  <c r="H26" i="67"/>
  <c r="C25"/>
  <c r="H25" s="1"/>
  <c r="C223"/>
  <c r="H76"/>
  <c r="E83" i="76"/>
  <c r="H83" i="61"/>
  <c r="N321" i="84"/>
  <c r="N322" s="1"/>
  <c r="C11" i="75"/>
  <c r="C50" i="61"/>
  <c r="H51"/>
  <c r="H12" i="67"/>
  <c r="C11"/>
  <c r="F214" i="64"/>
  <c r="F213" s="1"/>
  <c r="E208" i="61"/>
  <c r="J38" i="69" s="1"/>
  <c r="E20" i="68"/>
  <c r="E19" s="1"/>
  <c r="E18" s="1"/>
  <c r="D70" i="67"/>
  <c r="C9" i="68"/>
  <c r="C8" s="1"/>
  <c r="D8"/>
  <c r="C118" i="61"/>
  <c r="D116"/>
  <c r="I13" i="68" s="1"/>
  <c r="H13" s="1"/>
  <c r="S49" i="85"/>
  <c r="E34" i="68"/>
  <c r="J33"/>
  <c r="J37" i="69" s="1"/>
  <c r="F184" i="64"/>
  <c r="F224" i="67"/>
  <c r="F222" s="1"/>
  <c r="F221" s="1"/>
  <c r="F220" s="1"/>
  <c r="F73"/>
  <c r="F72" s="1"/>
  <c r="F71" s="1"/>
  <c r="F101" s="1"/>
  <c r="F102" s="1"/>
  <c r="C25" i="61"/>
  <c r="E26" i="76"/>
  <c r="E25" s="1"/>
  <c r="H26" i="61"/>
  <c r="E132" i="76"/>
  <c r="H32" i="61"/>
  <c r="C9" i="75"/>
  <c r="K321" i="84"/>
  <c r="K322" s="1"/>
  <c r="E75" i="76"/>
  <c r="H75" i="61"/>
  <c r="H64"/>
  <c r="C13" i="75"/>
  <c r="P321" i="84"/>
  <c r="P322" s="1"/>
  <c r="H146" i="61"/>
  <c r="O321" i="84"/>
  <c r="O322" s="1"/>
  <c r="C12" i="75"/>
  <c r="H58" i="61"/>
  <c r="H150"/>
  <c r="C23" i="75"/>
  <c r="I39" i="78"/>
  <c r="J39" s="1"/>
  <c r="O324" i="84"/>
  <c r="O325" s="1"/>
  <c r="K33" i="68"/>
  <c r="K37" i="69" s="1"/>
  <c r="F34" i="68"/>
  <c r="C72" i="64"/>
  <c r="H73"/>
  <c r="H11"/>
  <c r="C10"/>
  <c r="C179" i="67"/>
  <c r="H180"/>
  <c r="C227"/>
  <c r="C132" i="61"/>
  <c r="H224" l="1"/>
  <c r="W15" i="85"/>
  <c r="Y11" s="1"/>
  <c r="T19"/>
  <c r="H135" i="84"/>
  <c r="H158" s="1"/>
  <c r="T44" i="85"/>
  <c r="W44" s="1"/>
  <c r="W47" s="1"/>
  <c r="J52"/>
  <c r="J70" s="1"/>
  <c r="T48"/>
  <c r="T50"/>
  <c r="T51" s="1"/>
  <c r="D79" i="67"/>
  <c r="D224" s="1"/>
  <c r="D222" s="1"/>
  <c r="D221" s="1"/>
  <c r="C149" i="61"/>
  <c r="E10" i="76"/>
  <c r="E70" s="1"/>
  <c r="K39" i="69"/>
  <c r="F35" i="68"/>
  <c r="F33"/>
  <c r="F37" i="69" s="1"/>
  <c r="F39" s="1"/>
  <c r="D221" i="61"/>
  <c r="D220" s="1"/>
  <c r="D176" i="67"/>
  <c r="D208" s="1"/>
  <c r="C94"/>
  <c r="H94" s="1"/>
  <c r="D88"/>
  <c r="D87" s="1"/>
  <c r="D86" s="1"/>
  <c r="D231"/>
  <c r="D229" s="1"/>
  <c r="D228" s="1"/>
  <c r="D213"/>
  <c r="C20" i="68"/>
  <c r="C19" s="1"/>
  <c r="C18" s="1"/>
  <c r="J39" i="69"/>
  <c r="F179" i="64"/>
  <c r="F178" s="1"/>
  <c r="F177" s="1"/>
  <c r="F207" s="1"/>
  <c r="F208" s="1"/>
  <c r="F227"/>
  <c r="F225" s="1"/>
  <c r="F221" s="1"/>
  <c r="F220" s="1"/>
  <c r="C33" i="69"/>
  <c r="H34"/>
  <c r="H104" i="76"/>
  <c r="E223"/>
  <c r="C176" i="64"/>
  <c r="H109"/>
  <c r="I20" i="68"/>
  <c r="I19" s="1"/>
  <c r="I18" s="1"/>
  <c r="D35" s="1"/>
  <c r="H21"/>
  <c r="H20" s="1"/>
  <c r="H19" s="1"/>
  <c r="H18" s="1"/>
  <c r="E215" i="76"/>
  <c r="E245" s="1"/>
  <c r="H10" i="64"/>
  <c r="C214"/>
  <c r="C70"/>
  <c r="D33" i="68"/>
  <c r="E35"/>
  <c r="J35"/>
  <c r="E33"/>
  <c r="E37" i="69" s="1"/>
  <c r="E39" s="1"/>
  <c r="K9" i="72"/>
  <c r="J14"/>
  <c r="J15" s="1"/>
  <c r="J37" s="1"/>
  <c r="D234" i="64"/>
  <c r="D232" s="1"/>
  <c r="D228" s="1"/>
  <c r="D194"/>
  <c r="D193" s="1"/>
  <c r="D192" s="1"/>
  <c r="C199"/>
  <c r="H9" i="68"/>
  <c r="H8" s="1"/>
  <c r="H34" s="1"/>
  <c r="I8"/>
  <c r="I34" s="1"/>
  <c r="C227" i="61"/>
  <c r="C179"/>
  <c r="E180" i="76"/>
  <c r="H180" i="61"/>
  <c r="C178" i="67"/>
  <c r="H179"/>
  <c r="H11"/>
  <c r="C10"/>
  <c r="C222" i="61"/>
  <c r="H223"/>
  <c r="D109"/>
  <c r="R12" i="75"/>
  <c r="T12" s="1"/>
  <c r="S12"/>
  <c r="H118" i="61"/>
  <c r="E118" i="76"/>
  <c r="E116" s="1"/>
  <c r="E109" s="1"/>
  <c r="C116" i="61"/>
  <c r="R13" i="75"/>
  <c r="T13" s="1"/>
  <c r="S13"/>
  <c r="S9"/>
  <c r="R9"/>
  <c r="T9" s="1"/>
  <c r="C8"/>
  <c r="J321" i="84"/>
  <c r="J322" s="1"/>
  <c r="H25" i="61"/>
  <c r="S10" i="75"/>
  <c r="R10"/>
  <c r="C215" i="67"/>
  <c r="H215" s="1"/>
  <c r="H50"/>
  <c r="I324" i="84"/>
  <c r="I325" s="1"/>
  <c r="C18" i="75"/>
  <c r="H110" i="61"/>
  <c r="S11" i="75"/>
  <c r="R11"/>
  <c r="S21"/>
  <c r="R21"/>
  <c r="T21" s="1"/>
  <c r="G158" i="84"/>
  <c r="S52" i="85"/>
  <c r="Z52" s="1"/>
  <c r="S23" i="75"/>
  <c r="R23"/>
  <c r="T23" s="1"/>
  <c r="H132" i="61"/>
  <c r="C22" i="75"/>
  <c r="M324" i="84"/>
  <c r="M325" s="1"/>
  <c r="C71" i="64"/>
  <c r="H72"/>
  <c r="H50" i="61"/>
  <c r="H223" i="67"/>
  <c r="H33" i="69"/>
  <c r="C34"/>
  <c r="H11" i="61"/>
  <c r="I321" i="84"/>
  <c r="I322" s="1"/>
  <c r="C7" i="75"/>
  <c r="C10" i="61"/>
  <c r="H165"/>
  <c r="Q324" i="84"/>
  <c r="Q325" s="1"/>
  <c r="I90" i="78"/>
  <c r="J90" s="1"/>
  <c r="C25" i="75"/>
  <c r="T14" i="85"/>
  <c r="W6"/>
  <c r="W14" s="1"/>
  <c r="C72" i="61"/>
  <c r="H73"/>
  <c r="S24" i="75"/>
  <c r="R24"/>
  <c r="T24" s="1"/>
  <c r="C225" i="67"/>
  <c r="H225" s="1"/>
  <c r="H227"/>
  <c r="T49" i="85"/>
  <c r="W48"/>
  <c r="W49" s="1"/>
  <c r="H222" i="64"/>
  <c r="D34" i="69"/>
  <c r="I33"/>
  <c r="I34"/>
  <c r="D33"/>
  <c r="C109" i="67"/>
  <c r="H110"/>
  <c r="E227" i="64"/>
  <c r="E225" s="1"/>
  <c r="E221" s="1"/>
  <c r="E220" s="1"/>
  <c r="E179"/>
  <c r="E178" s="1"/>
  <c r="E177" s="1"/>
  <c r="E207" s="1"/>
  <c r="E208" s="1"/>
  <c r="E73" i="76"/>
  <c r="E72" s="1"/>
  <c r="E71" s="1"/>
  <c r="E101" s="1"/>
  <c r="E224"/>
  <c r="H149" i="61" l="1"/>
  <c r="T20" i="85"/>
  <c r="W17"/>
  <c r="W20" s="1"/>
  <c r="C215" i="61"/>
  <c r="T47" i="85"/>
  <c r="T52" s="1"/>
  <c r="Y52"/>
  <c r="W50"/>
  <c r="W51" s="1"/>
  <c r="W52" s="1"/>
  <c r="D73" i="67"/>
  <c r="D72" s="1"/>
  <c r="D71" s="1"/>
  <c r="D101" s="1"/>
  <c r="D102" s="1"/>
  <c r="D184" i="64"/>
  <c r="C184" s="1"/>
  <c r="C79" i="67"/>
  <c r="C109" i="61"/>
  <c r="I35" i="68"/>
  <c r="H35"/>
  <c r="D220" i="67"/>
  <c r="C231"/>
  <c r="C229" s="1"/>
  <c r="C88"/>
  <c r="C87" s="1"/>
  <c r="C35" i="68"/>
  <c r="C33"/>
  <c r="C37" i="69" s="1"/>
  <c r="S70" i="85"/>
  <c r="E176" i="76"/>
  <c r="E214"/>
  <c r="E227"/>
  <c r="E225" s="1"/>
  <c r="E179"/>
  <c r="E178" s="1"/>
  <c r="E177" s="1"/>
  <c r="E207" s="1"/>
  <c r="C71" i="61"/>
  <c r="H72"/>
  <c r="C14" i="75"/>
  <c r="H109" i="67"/>
  <c r="C176"/>
  <c r="S18" i="75"/>
  <c r="R18"/>
  <c r="T18" s="1"/>
  <c r="S8"/>
  <c r="R8"/>
  <c r="T8" s="1"/>
  <c r="H178" i="67"/>
  <c r="C177"/>
  <c r="H199" i="64"/>
  <c r="C234"/>
  <c r="C194"/>
  <c r="R25" i="75"/>
  <c r="S25"/>
  <c r="S22"/>
  <c r="R22"/>
  <c r="C20"/>
  <c r="H116" i="61"/>
  <c r="K324" i="84"/>
  <c r="K325" s="1"/>
  <c r="C34" i="68"/>
  <c r="H33"/>
  <c r="H37" i="69" s="1"/>
  <c r="D37"/>
  <c r="D39" s="1"/>
  <c r="H176" i="64"/>
  <c r="D34" i="68"/>
  <c r="I33"/>
  <c r="I37" i="69" s="1"/>
  <c r="S7" i="75"/>
  <c r="R7"/>
  <c r="T7" s="1"/>
  <c r="C70" i="61"/>
  <c r="H10"/>
  <c r="D176"/>
  <c r="D208" s="1"/>
  <c r="I38" i="69" s="1"/>
  <c r="D214" i="61"/>
  <c r="D213" s="1"/>
  <c r="C70" i="67"/>
  <c r="H10"/>
  <c r="C214"/>
  <c r="H214" i="64"/>
  <c r="C213"/>
  <c r="H213" s="1"/>
  <c r="E102" i="76"/>
  <c r="C178" i="61"/>
  <c r="H179"/>
  <c r="C101" i="64"/>
  <c r="H71"/>
  <c r="H222" i="61"/>
  <c r="H227"/>
  <c r="C225"/>
  <c r="L9" i="72"/>
  <c r="K14"/>
  <c r="K15" s="1"/>
  <c r="K37" s="1"/>
  <c r="H70" i="64"/>
  <c r="E222" i="76"/>
  <c r="H225" i="61" l="1"/>
  <c r="H109"/>
  <c r="H215"/>
  <c r="T70" i="85"/>
  <c r="C73" i="67"/>
  <c r="H73" s="1"/>
  <c r="H79"/>
  <c r="C224"/>
  <c r="C222" s="1"/>
  <c r="D227" i="64"/>
  <c r="D225" s="1"/>
  <c r="D221" s="1"/>
  <c r="D220" s="1"/>
  <c r="D179"/>
  <c r="D178" s="1"/>
  <c r="D177" s="1"/>
  <c r="D207" s="1"/>
  <c r="D208" s="1"/>
  <c r="C214" i="61"/>
  <c r="C176"/>
  <c r="W70" i="85"/>
  <c r="H231" i="67"/>
  <c r="H88"/>
  <c r="E221" i="76"/>
  <c r="E220" s="1"/>
  <c r="C221" i="61"/>
  <c r="H176" i="67"/>
  <c r="E208" i="76"/>
  <c r="I103" s="1"/>
  <c r="H101" i="64"/>
  <c r="C232"/>
  <c r="H234"/>
  <c r="H71" i="61"/>
  <c r="C101"/>
  <c r="F71" i="85"/>
  <c r="E213" i="76"/>
  <c r="C193" i="64"/>
  <c r="H194"/>
  <c r="C86" i="67"/>
  <c r="H86" s="1"/>
  <c r="H87"/>
  <c r="H229"/>
  <c r="C228"/>
  <c r="H228" s="1"/>
  <c r="I39" i="69"/>
  <c r="H70" i="61"/>
  <c r="R14" i="75"/>
  <c r="S14"/>
  <c r="H184" i="64"/>
  <c r="C179"/>
  <c r="C227"/>
  <c r="H214" i="67"/>
  <c r="C213"/>
  <c r="H213" s="1"/>
  <c r="H70"/>
  <c r="U22" i="75"/>
  <c r="T22"/>
  <c r="C102" i="64"/>
  <c r="H102" s="1"/>
  <c r="M9" i="72"/>
  <c r="L14"/>
  <c r="L15" s="1"/>
  <c r="L37" s="1"/>
  <c r="C177" i="61"/>
  <c r="H178"/>
  <c r="C26" i="75"/>
  <c r="R20"/>
  <c r="T20" s="1"/>
  <c r="S20"/>
  <c r="C207" i="67"/>
  <c r="C208" s="1"/>
  <c r="H208" s="1"/>
  <c r="H177"/>
  <c r="C16" i="75"/>
  <c r="C102" i="61" l="1"/>
  <c r="G17" s="1"/>
  <c r="C220"/>
  <c r="H214"/>
  <c r="H224" i="67"/>
  <c r="C72"/>
  <c r="C71" s="1"/>
  <c r="C213" i="61"/>
  <c r="H176"/>
  <c r="H221"/>
  <c r="E244" i="76"/>
  <c r="H101" i="61"/>
  <c r="H193" i="64"/>
  <c r="C192"/>
  <c r="H192" s="1"/>
  <c r="R26" i="75"/>
  <c r="S26"/>
  <c r="C28"/>
  <c r="R28" s="1"/>
  <c r="C221" i="67"/>
  <c r="H222"/>
  <c r="C228" i="64"/>
  <c r="H228" s="1"/>
  <c r="H232"/>
  <c r="H179"/>
  <c r="C178"/>
  <c r="J71" i="85"/>
  <c r="J72" s="1"/>
  <c r="F72"/>
  <c r="H207" i="67"/>
  <c r="N9" i="72"/>
  <c r="M14"/>
  <c r="M15" s="1"/>
  <c r="M37" s="1"/>
  <c r="C225" i="64"/>
  <c r="H227"/>
  <c r="R16" i="75"/>
  <c r="C207" i="61"/>
  <c r="H177"/>
  <c r="O71" i="85"/>
  <c r="G86" i="61" l="1"/>
  <c r="H102"/>
  <c r="G72"/>
  <c r="G10"/>
  <c r="J74" i="85"/>
  <c r="J75" s="1"/>
  <c r="G58" i="61"/>
  <c r="G32"/>
  <c r="G44"/>
  <c r="G50"/>
  <c r="G101"/>
  <c r="G87"/>
  <c r="G64"/>
  <c r="G51"/>
  <c r="G70"/>
  <c r="G11"/>
  <c r="G102"/>
  <c r="C38" i="69"/>
  <c r="C39" s="1"/>
  <c r="G25" i="61"/>
  <c r="H213"/>
  <c r="H220"/>
  <c r="G71"/>
  <c r="H72" i="67"/>
  <c r="C29" i="75"/>
  <c r="R29" s="1"/>
  <c r="H225" i="64"/>
  <c r="C221"/>
  <c r="C177"/>
  <c r="H178"/>
  <c r="H71" i="67"/>
  <c r="C101"/>
  <c r="S71" i="85"/>
  <c r="O72"/>
  <c r="H221" i="67"/>
  <c r="C220"/>
  <c r="H220" s="1"/>
  <c r="H207" i="61"/>
  <c r="C208"/>
  <c r="O9" i="72"/>
  <c r="N14"/>
  <c r="N15" s="1"/>
  <c r="N37" s="1"/>
  <c r="C30" i="75" l="1"/>
  <c r="R30" s="1"/>
  <c r="O14" i="72"/>
  <c r="O15" s="1"/>
  <c r="O37" s="1"/>
  <c r="P9"/>
  <c r="G176" i="61"/>
  <c r="H38" i="69"/>
  <c r="H39" s="1"/>
  <c r="G208" i="61"/>
  <c r="G193"/>
  <c r="H208"/>
  <c r="G192"/>
  <c r="S74" i="85"/>
  <c r="G114" i="61"/>
  <c r="G159"/>
  <c r="G150"/>
  <c r="G123"/>
  <c r="G132"/>
  <c r="G149"/>
  <c r="G110"/>
  <c r="G165"/>
  <c r="G116"/>
  <c r="G109"/>
  <c r="G178"/>
  <c r="G177"/>
  <c r="H103"/>
  <c r="H221" i="64"/>
  <c r="C220"/>
  <c r="H220" s="1"/>
  <c r="C207"/>
  <c r="H177"/>
  <c r="T71" i="85"/>
  <c r="S72"/>
  <c r="H101" i="67"/>
  <c r="C102"/>
  <c r="H102" s="1"/>
  <c r="G207" i="61"/>
  <c r="S75" i="85" l="1"/>
  <c r="H207" i="64"/>
  <c r="C208"/>
  <c r="H208" s="1"/>
  <c r="W71" i="85"/>
  <c r="W72" s="1"/>
  <c r="T72"/>
  <c r="P14" i="72"/>
  <c r="P15" s="1"/>
  <c r="P37" s="1"/>
  <c r="Q9"/>
  <c r="R9" l="1"/>
  <c r="Q14"/>
  <c r="Q15" s="1"/>
  <c r="Q37" s="1"/>
  <c r="R14" l="1"/>
  <c r="R15" s="1"/>
  <c r="R37" s="1"/>
  <c r="S9"/>
  <c r="T9" l="1"/>
  <c r="S14"/>
  <c r="S15" s="1"/>
  <c r="S37" s="1"/>
  <c r="T14" l="1"/>
  <c r="T15" s="1"/>
  <c r="T37" s="1"/>
  <c r="U9"/>
  <c r="U14" s="1"/>
  <c r="U15" s="1"/>
  <c r="U37" s="1"/>
</calcChain>
</file>

<file path=xl/comments1.xml><?xml version="1.0" encoding="utf-8"?>
<comments xmlns="http://schemas.openxmlformats.org/spreadsheetml/2006/main">
  <authors>
    <author>ecsegi</author>
  </authors>
  <commentList>
    <comment ref="F199" authorId="0">
      <text>
        <r>
          <rPr>
            <b/>
            <sz val="9"/>
            <color indexed="81"/>
            <rFont val="Tahoma"/>
            <family val="2"/>
            <charset val="238"/>
          </rPr>
          <t>ecsegi:</t>
        </r>
        <r>
          <rPr>
            <sz val="9"/>
            <color indexed="81"/>
            <rFont val="Tahoma"/>
            <family val="2"/>
            <charset val="238"/>
          </rPr>
          <t xml:space="preserve">
támogatás korrekció (már elszámolt előleg miatt) +5500
bevétel +8000</t>
        </r>
      </text>
    </comment>
    <comment ref="F200" authorId="0">
      <text>
        <r>
          <rPr>
            <b/>
            <sz val="9"/>
            <color indexed="81"/>
            <rFont val="Tahoma"/>
            <family val="2"/>
            <charset val="238"/>
          </rPr>
          <t>ecsegi:</t>
        </r>
        <r>
          <rPr>
            <sz val="9"/>
            <color indexed="81"/>
            <rFont val="Tahoma"/>
            <family val="2"/>
            <charset val="238"/>
          </rPr>
          <t xml:space="preserve">
HSE +1250
Fönix Trampolin +1000</t>
        </r>
      </text>
    </comment>
    <comment ref="F201" authorId="0">
      <text>
        <r>
          <rPr>
            <b/>
            <sz val="9"/>
            <color indexed="81"/>
            <rFont val="Tahoma"/>
            <family val="2"/>
            <charset val="238"/>
          </rPr>
          <t>ecsegi:</t>
        </r>
        <r>
          <rPr>
            <sz val="9"/>
            <color indexed="81"/>
            <rFont val="Tahoma"/>
            <family val="2"/>
            <charset val="238"/>
          </rPr>
          <t xml:space="preserve">
átvett pénz (zártkerti pályázat még ki nem utalt) +2299
dologi kiadások -25664</t>
        </r>
      </text>
    </comment>
    <comment ref="F203" authorId="0">
      <text>
        <r>
          <rPr>
            <b/>
            <sz val="9"/>
            <color indexed="81"/>
            <rFont val="Tahoma"/>
            <family val="2"/>
            <charset val="238"/>
          </rPr>
          <t>ecsegi:</t>
        </r>
        <r>
          <rPr>
            <sz val="9"/>
            <color indexed="81"/>
            <rFont val="Tahoma"/>
            <family val="2"/>
            <charset val="238"/>
          </rPr>
          <t xml:space="preserve">
bér -2722
jár -350
dologi -4824
ber -500</t>
        </r>
      </text>
    </comment>
    <comment ref="F204" authorId="0">
      <text>
        <r>
          <rPr>
            <b/>
            <sz val="9"/>
            <color indexed="81"/>
            <rFont val="Tahoma"/>
            <family val="2"/>
            <charset val="238"/>
          </rPr>
          <t>ecsegi:</t>
        </r>
        <r>
          <rPr>
            <sz val="9"/>
            <color indexed="81"/>
            <rFont val="Tahoma"/>
            <family val="2"/>
            <charset val="238"/>
          </rPr>
          <t xml:space="preserve">
redezvények -1600
egyéb dologi -830
érd.növ. ber -2653
egyéb ber (kisértékű eszk. Besz) -1572</t>
        </r>
      </text>
    </comment>
    <comment ref="F205" authorId="0">
      <text>
        <r>
          <rPr>
            <b/>
            <sz val="9"/>
            <color indexed="81"/>
            <rFont val="Tahoma"/>
            <family val="2"/>
            <charset val="238"/>
          </rPr>
          <t>ecsegi:</t>
        </r>
        <r>
          <rPr>
            <sz val="9"/>
            <color indexed="81"/>
            <rFont val="Tahoma"/>
            <family val="2"/>
            <charset val="238"/>
          </rPr>
          <t xml:space="preserve">
cafetéria -30
járulék -10
eszköz -1500</t>
        </r>
      </text>
    </comment>
    <comment ref="F207" authorId="0">
      <text>
        <r>
          <rPr>
            <b/>
            <sz val="9"/>
            <color indexed="81"/>
            <rFont val="Tahoma"/>
            <family val="2"/>
            <charset val="238"/>
          </rPr>
          <t>ecsegi:</t>
        </r>
        <r>
          <rPr>
            <sz val="9"/>
            <color indexed="81"/>
            <rFont val="Tahoma"/>
            <family val="2"/>
            <charset val="238"/>
          </rPr>
          <t xml:space="preserve">
adósságrendezés során be nem jelentett - 4425
áthúzodó szállítók, kötelezettségek +10165
</t>
        </r>
      </text>
    </comment>
  </commentList>
</comments>
</file>

<file path=xl/comments2.xml><?xml version="1.0" encoding="utf-8"?>
<comments xmlns="http://schemas.openxmlformats.org/spreadsheetml/2006/main">
  <authors>
    <author>ecsegi</author>
  </authors>
  <commentList>
    <comment ref="AE5" authorId="0">
      <text>
        <r>
          <rPr>
            <b/>
            <sz val="9"/>
            <color indexed="81"/>
            <rFont val="Tahoma"/>
            <family val="2"/>
            <charset val="238"/>
          </rPr>
          <t>ecsegi:</t>
        </r>
        <r>
          <rPr>
            <sz val="9"/>
            <color indexed="81"/>
            <rFont val="Tahoma"/>
            <family val="2"/>
            <charset val="238"/>
          </rPr>
          <t xml:space="preserve">
még várható tám.</t>
        </r>
      </text>
    </comment>
    <comment ref="Y11" authorId="0">
      <text>
        <r>
          <rPr>
            <b/>
            <sz val="9"/>
            <color indexed="81"/>
            <rFont val="Tahoma"/>
            <family val="2"/>
            <charset val="238"/>
          </rPr>
          <t>ecsegi:</t>
        </r>
        <r>
          <rPr>
            <sz val="9"/>
            <color indexed="81"/>
            <rFont val="Tahoma"/>
            <family val="2"/>
            <charset val="238"/>
          </rPr>
          <t xml:space="preserve">
gyermekétk kieg 13319
</t>
        </r>
      </text>
    </comment>
  </commentList>
</comments>
</file>

<file path=xl/sharedStrings.xml><?xml version="1.0" encoding="utf-8"?>
<sst xmlns="http://schemas.openxmlformats.org/spreadsheetml/2006/main" count="7880" uniqueCount="1586">
  <si>
    <t>Egyéb működési célú támogatások államháztartáson belülre</t>
  </si>
  <si>
    <t>Egyéb működési célú támogatások államháztartáson kívülre</t>
  </si>
  <si>
    <t>Egyéb felhalmozási célú támogatások államháztartáson belülre</t>
  </si>
  <si>
    <t>4.</t>
  </si>
  <si>
    <t>1.</t>
  </si>
  <si>
    <t>2.</t>
  </si>
  <si>
    <t>3.</t>
  </si>
  <si>
    <t>Megnevezés</t>
  </si>
  <si>
    <t>Sor-
szám</t>
  </si>
  <si>
    <t>12.</t>
  </si>
  <si>
    <t>11.</t>
  </si>
  <si>
    <t>10.</t>
  </si>
  <si>
    <t>9.</t>
  </si>
  <si>
    <t>8.</t>
  </si>
  <si>
    <t>7.</t>
  </si>
  <si>
    <t>6.</t>
  </si>
  <si>
    <t>5.</t>
  </si>
  <si>
    <t>Sor-szám</t>
  </si>
  <si>
    <t>Összesen</t>
  </si>
  <si>
    <t>-</t>
  </si>
  <si>
    <t>IV.</t>
  </si>
  <si>
    <t>III.</t>
  </si>
  <si>
    <t>II.</t>
  </si>
  <si>
    <t>I.</t>
  </si>
  <si>
    <t>Települési önkormányzatok muzeális intézményi feladatainak támogatása</t>
  </si>
  <si>
    <t>A települési önkormányzatok helyi közösségi közlekedésének támogatása</t>
  </si>
  <si>
    <t>Lakott külterülettel kapcsolatos feladatok támogatása</t>
  </si>
  <si>
    <t>Üdülőhelyi feladatok támogatása</t>
  </si>
  <si>
    <t>Önkormányzati feladatellátást szolgáló fejlesztések</t>
  </si>
  <si>
    <t>Ózdi martinsalak felhasználása miatt kárt szenvedett lakóépületek tulajdonosainak kártalanítása</t>
  </si>
  <si>
    <t>Kompok, révek fenntartásának, felújításának támogatása</t>
  </si>
  <si>
    <t>Lakossági víz- és csatornaszolgáltatás támogatása</t>
  </si>
  <si>
    <t>23.</t>
  </si>
  <si>
    <t>22.</t>
  </si>
  <si>
    <t>21.</t>
  </si>
  <si>
    <t>20.</t>
  </si>
  <si>
    <t>19.</t>
  </si>
  <si>
    <t>VIII.</t>
  </si>
  <si>
    <t>18.</t>
  </si>
  <si>
    <t>17.</t>
  </si>
  <si>
    <t>16.</t>
  </si>
  <si>
    <t>VII.</t>
  </si>
  <si>
    <t>VI.</t>
  </si>
  <si>
    <t>15.</t>
  </si>
  <si>
    <t>14.</t>
  </si>
  <si>
    <t>13.</t>
  </si>
  <si>
    <t xml:space="preserve"> Személyi juttatások</t>
  </si>
  <si>
    <t>1. melléklet</t>
  </si>
  <si>
    <t>BEVÉTELEK</t>
  </si>
  <si>
    <t>Ezer forintban !</t>
  </si>
  <si>
    <t>Bevételi jogcím</t>
  </si>
  <si>
    <t>Kötelező feladatok</t>
  </si>
  <si>
    <t>Önként vállalt feladatok</t>
  </si>
  <si>
    <t>Állami (államigazgatási) feladatok</t>
  </si>
  <si>
    <t>2.1.</t>
  </si>
  <si>
    <t>2.2.</t>
  </si>
  <si>
    <t>2.2.1.</t>
  </si>
  <si>
    <t>2.2.2.</t>
  </si>
  <si>
    <t>3.1.</t>
  </si>
  <si>
    <t>3.2.</t>
  </si>
  <si>
    <t>3.3.</t>
  </si>
  <si>
    <t>4.1.</t>
  </si>
  <si>
    <t>4.2.</t>
  </si>
  <si>
    <t>4.3.</t>
  </si>
  <si>
    <t>4.4.</t>
  </si>
  <si>
    <t>4.5.</t>
  </si>
  <si>
    <t>8.1.</t>
  </si>
  <si>
    <t>8.2.</t>
  </si>
  <si>
    <t>8.3.</t>
  </si>
  <si>
    <t>9.1.</t>
  </si>
  <si>
    <t>9.2.</t>
  </si>
  <si>
    <t>9.3.</t>
  </si>
  <si>
    <t>9.4.</t>
  </si>
  <si>
    <t>12.1.</t>
  </si>
  <si>
    <t>12.2.</t>
  </si>
  <si>
    <t>13.1.</t>
  </si>
  <si>
    <t>13.2.</t>
  </si>
  <si>
    <t>13.3.</t>
  </si>
  <si>
    <t>15.1.</t>
  </si>
  <si>
    <t>15.2.</t>
  </si>
  <si>
    <t>KIADÁSOK</t>
  </si>
  <si>
    <t>1.1.</t>
  </si>
  <si>
    <t>1.2.</t>
  </si>
  <si>
    <t>2.3.</t>
  </si>
  <si>
    <t>2.4.</t>
  </si>
  <si>
    <t>2.5.</t>
  </si>
  <si>
    <t>2.6.</t>
  </si>
  <si>
    <t>6.1.</t>
  </si>
  <si>
    <t>6.2.</t>
  </si>
  <si>
    <t>KÖLTSÉGVETÉSI BEVÉTELEK ÉS KIADÁSOK EGYENLEGE</t>
  </si>
  <si>
    <t>FINANSZÍROZÁSI CÉLÚ BEVÉTELEK ÉS KIADÁSOK EGYENLEGE</t>
  </si>
  <si>
    <t>Éves engedélyezett létszám előirányzat (fő)</t>
  </si>
  <si>
    <t>Közfoglalkoztatottak létszáma (fő)</t>
  </si>
  <si>
    <t>Helyi önkormányzatok működésének általános támogatása (B111)</t>
  </si>
  <si>
    <t>Települési önkormányzatok egyes köznevelési feladatainak támogatása (B112)</t>
  </si>
  <si>
    <t>Települési önkormányzatok szociális és gyermekjóléti  feladatainak támogatása (B113)</t>
  </si>
  <si>
    <t>Települési önkormányzatok kulturális feladatainak támogatása (B114)</t>
  </si>
  <si>
    <t>Elvonások és befizetések bevételei (B12)</t>
  </si>
  <si>
    <t>Működési célú garancia- és kezességvállalásból származó megtérülések államháztartáson belülről (B13)</t>
  </si>
  <si>
    <t>Működési célú visszatérítendő támogatások, kölcsönök visszatérülése államháztartáson belülről (B14)</t>
  </si>
  <si>
    <t>Működési célú visszatérítendő támogatások, kölcsönök igénybevétele államháztartáson belülről (B15)</t>
  </si>
  <si>
    <t>Egyéb működési célú támogatások bevételei államháztartáson belülről (B16)</t>
  </si>
  <si>
    <t>Jövedelemadók (B31)</t>
  </si>
  <si>
    <t>Szociális hozzájárulási adó és járulékok (B32)</t>
  </si>
  <si>
    <t>Bérhez és foglalkoztatáshoz kapcsolódó adók (B33)</t>
  </si>
  <si>
    <t>Vagyoni tipusú adók  (B34)</t>
  </si>
  <si>
    <t>Termékek és szolgáltatások adói (B35)</t>
  </si>
  <si>
    <t>Szolgáltatások ellenértéke (B402)</t>
  </si>
  <si>
    <t>Közvetített szolgáltatások értéke (B403)</t>
  </si>
  <si>
    <t>Tulajdonosi bevételek (B404)</t>
  </si>
  <si>
    <t>Ellátási díjak (B405)</t>
  </si>
  <si>
    <t>Kiszámlázott általános forgalmi adó (B406)</t>
  </si>
  <si>
    <t>Általános forgalmi adó visszatérítése (B407)</t>
  </si>
  <si>
    <t>Egyéb pénzügyi műveletek bevételei (B409)</t>
  </si>
  <si>
    <t>Működési célú garancia- és kezességvállalásból származó megtérülések államháztartáson kívülről (B61)</t>
  </si>
  <si>
    <t>Felhalmozási célú önkormányzati támogatások (B21)</t>
  </si>
  <si>
    <t>Felhalmozási célú garancia- és kezességvállalásból származó megtérülések államháztartáson belülről (B22)</t>
  </si>
  <si>
    <t>Felhalmozási célú visszatérítendő támogatások, kölcsönök visszatérülése államháztartáson belülről (B23)</t>
  </si>
  <si>
    <t>Felhalmozási célú visszatérítendő támogatások, kölcsönök igénybevétele államháztartáson belülről (B24)</t>
  </si>
  <si>
    <t>Egyéb felhalmozási célú támogatások bevételei államháztartáson belülről (B25)</t>
  </si>
  <si>
    <t>Immateriális javak értékesítése (B51)</t>
  </si>
  <si>
    <t>Ingatlanok értékesítése (B52)</t>
  </si>
  <si>
    <t>Egyéb tárgyi eszközök értékesítése (B53)</t>
  </si>
  <si>
    <t>Részesedések értékesítése (B54)</t>
  </si>
  <si>
    <t>Részesedések megszűnéséhez kapcsolódó bevételek (B55)</t>
  </si>
  <si>
    <t>Felhalmozási célú garancia- és kezességvállalásból származó megtérülések államháztartáson kívülről (B71)</t>
  </si>
  <si>
    <t>Foglalkoztatottak személyi juttatásai (K11)</t>
  </si>
  <si>
    <t>Külső személyi juttatások (K12)</t>
  </si>
  <si>
    <t>Készletbeszerzés (K31)</t>
  </si>
  <si>
    <t>Kommunikációs szolgáltatások (K32)</t>
  </si>
  <si>
    <t>Szolgáltatási kiadások (K33)</t>
  </si>
  <si>
    <t>Kiküldetések, reklám- és propagandakiadások (K34)</t>
  </si>
  <si>
    <t>Különféle befizetések és egyéb dologi kiadások (K35)</t>
  </si>
  <si>
    <t>Társadalombiztosítási ellátások (K41)</t>
  </si>
  <si>
    <t>Családi támogatások (K42)</t>
  </si>
  <si>
    <t>Pénzbeli kárpótlások, kártérítések (K43)</t>
  </si>
  <si>
    <t>Betegséggel kapcsolatos (nem társadalombiztosítási) ellátások (K44)</t>
  </si>
  <si>
    <t>Foglalkoztatással, munkanélküliséggel kapcsolatos ellátások (K45)</t>
  </si>
  <si>
    <t>Lakhatással kapcsolatos ellátások (K46)</t>
  </si>
  <si>
    <t>Intézményi ellátottak pénzbeli juttatásai (K47)</t>
  </si>
  <si>
    <t>Egyéb nem intézményi ellátások (K48)</t>
  </si>
  <si>
    <t>Nemzetközi kötelezettségek (K501)</t>
  </si>
  <si>
    <t>Elvonások és befizetések (K502)</t>
  </si>
  <si>
    <t>Működési célú garancia- és kezességvállalásból származó kifizetés államháztartáson belülre (K503)</t>
  </si>
  <si>
    <t>Működési célú visszatérítendő támogatások, kölcsönök nyújtása államháztartáson belülre (K504)</t>
  </si>
  <si>
    <t>Működési célú visszatérítendő támogatások, kölcsönök törlesztése államháztartáson belülre (K505)</t>
  </si>
  <si>
    <t>Egyéb működési célú támogatások államháztartáson belülre (K506)</t>
  </si>
  <si>
    <t>Működési célú garancia- és kezességvállalásból származó kifizetés államháztartáson kívülre (K507)</t>
  </si>
  <si>
    <t>Működési célú visszatérítendő támogatások, kölcsönök nyújtása államháztartáson kívülre (K508)</t>
  </si>
  <si>
    <t>Árkiegészítések, ártámogatások (K509)</t>
  </si>
  <si>
    <t>Kamattámogatások (K510)</t>
  </si>
  <si>
    <t>Immateriális javak beszerzése, létesítése (K61)</t>
  </si>
  <si>
    <t>Ingatlanok beszerzése, létesítése (K62)</t>
  </si>
  <si>
    <t>Informatikai eszközök beszerzése, létesítése (K63)</t>
  </si>
  <si>
    <t>Egyéb tárgyi eszközök beszerzése, létesítése (K64)</t>
  </si>
  <si>
    <t>Részesedések beszerzése (K65)</t>
  </si>
  <si>
    <t>Meglévő részesedések növeléséhez kapcsolódó kiadások (K66)</t>
  </si>
  <si>
    <t>Beruházási célú előzetesen felszámított általános forgalmi adó (K67)</t>
  </si>
  <si>
    <t>Ingatlanok felújítása (K71)</t>
  </si>
  <si>
    <t>Informatikai eszközök felújítása (K72)</t>
  </si>
  <si>
    <t>Egyéb tárgyi eszközök felújítása  (K73)</t>
  </si>
  <si>
    <t>Felújítási célú előzetesen felszámított általános forgalmi adó (K74)</t>
  </si>
  <si>
    <t>Felhalmozási célú garancia- és kezességvállalásból származó kifizetés államháztartáson belülre (K81)</t>
  </si>
  <si>
    <t>Felhalmozási célú visszatérítendő támogatások, kölcsönök nyújtása államháztartáson belülre (K82)</t>
  </si>
  <si>
    <t>Felhalmozási célú visszatérítendő támogatások, kölcsönök törlesztése államháztartáson belülre (K83)</t>
  </si>
  <si>
    <t>Egyéb felhalmozási célú támogatások államháztartáson belülre (K84)</t>
  </si>
  <si>
    <t>Felhalmozási célú garancia- és kezességvállalásból származó kifizetés államháztartáson kívülre (K85)</t>
  </si>
  <si>
    <t>Felhalmozási célú visszatérítendő támogatások, kölcsönök nyújtása államháztartáson kívülre (K86)</t>
  </si>
  <si>
    <t>Lakástámogatás (K87)</t>
  </si>
  <si>
    <t>Hitel-, kölcsöntörlesztés államháztartáson kívülre (K911)</t>
  </si>
  <si>
    <t>Belföldi értékpapírok kiadásai (K912)</t>
  </si>
  <si>
    <t>Államháztartáson belüli megelőlegezések folyósítása (K913)</t>
  </si>
  <si>
    <t>Államháztartáson belüli megelőlegezések visszafizetése (K914)</t>
  </si>
  <si>
    <t>Központi, irányító szervi támogatások folyósítása (K915)</t>
  </si>
  <si>
    <t>Pénzügyi lízing kiadásai (K917)</t>
  </si>
  <si>
    <t>Központi költségvetés sajátos finanszírozási kiadásai (K918)</t>
  </si>
  <si>
    <t>Külföldi finanszírozás kiadásai (K92)</t>
  </si>
  <si>
    <t>Adóssághoz nem kapcsolódó származékos ügyletek kiadásai (K93)</t>
  </si>
  <si>
    <t>Pénzeszközök betétként elhelyezése (belső finanszírozás) (K916)</t>
  </si>
  <si>
    <t>3.4.</t>
  </si>
  <si>
    <t>3.5.</t>
  </si>
  <si>
    <t>6.3.</t>
  </si>
  <si>
    <t>6.4.</t>
  </si>
  <si>
    <t>6.5.</t>
  </si>
  <si>
    <t>7.1.</t>
  </si>
  <si>
    <t>7.2.</t>
  </si>
  <si>
    <t>7.3.</t>
  </si>
  <si>
    <t>7.4.</t>
  </si>
  <si>
    <t>7.5.</t>
  </si>
  <si>
    <t>2.1.1.</t>
  </si>
  <si>
    <t>2.1.2.</t>
  </si>
  <si>
    <t>2.1.3.</t>
  </si>
  <si>
    <t>2.1.4.</t>
  </si>
  <si>
    <t>2.1.5.</t>
  </si>
  <si>
    <t>2.1.6.</t>
  </si>
  <si>
    <t>12.1.1.</t>
  </si>
  <si>
    <t>12.1.2.</t>
  </si>
  <si>
    <t>12.1.3.</t>
  </si>
  <si>
    <t>12.1.4.</t>
  </si>
  <si>
    <t>12.1.5.</t>
  </si>
  <si>
    <t>12.1.6.</t>
  </si>
  <si>
    <t>12.1.8.</t>
  </si>
  <si>
    <t>12.3.</t>
  </si>
  <si>
    <t>12.1.7.</t>
  </si>
  <si>
    <t>13.1.1.</t>
  </si>
  <si>
    <t>13.1.2.</t>
  </si>
  <si>
    <t>13.1.3.</t>
  </si>
  <si>
    <t>13.1.4.</t>
  </si>
  <si>
    <t>13.1.5.</t>
  </si>
  <si>
    <t>13.1.6.</t>
  </si>
  <si>
    <t>13.1.7.</t>
  </si>
  <si>
    <t>13.1.8.</t>
  </si>
  <si>
    <t>15.1.1.</t>
  </si>
  <si>
    <t>15.1.2.</t>
  </si>
  <si>
    <t>15.1.3.</t>
  </si>
  <si>
    <t>15.1.4.</t>
  </si>
  <si>
    <t>15.1.5.</t>
  </si>
  <si>
    <t>15.1.6.</t>
  </si>
  <si>
    <t>15.1.7.</t>
  </si>
  <si>
    <t>15.1.8.</t>
  </si>
  <si>
    <t>15.3.</t>
  </si>
  <si>
    <t>4.6.</t>
  </si>
  <si>
    <t>4.7.</t>
  </si>
  <si>
    <t>4.8.</t>
  </si>
  <si>
    <t>4.9.</t>
  </si>
  <si>
    <t>4.10.</t>
  </si>
  <si>
    <t>5.1.</t>
  </si>
  <si>
    <t>5.2.</t>
  </si>
  <si>
    <t>5.3.</t>
  </si>
  <si>
    <t>8.4.</t>
  </si>
  <si>
    <t>8.5.</t>
  </si>
  <si>
    <t>14.1.</t>
  </si>
  <si>
    <t>14.1.1.</t>
  </si>
  <si>
    <t>14.1.2.</t>
  </si>
  <si>
    <t>14.1.3.</t>
  </si>
  <si>
    <t>14.1.4.</t>
  </si>
  <si>
    <t>14.1.5.</t>
  </si>
  <si>
    <t>14.1.6.</t>
  </si>
  <si>
    <t>14.1.7.</t>
  </si>
  <si>
    <t>14.1.8.</t>
  </si>
  <si>
    <t>14.2.</t>
  </si>
  <si>
    <t>14.3.</t>
  </si>
  <si>
    <t>Külföldi finanszírozás bevételei (B82)</t>
  </si>
  <si>
    <t>Adóssághoz nem kapcsolódó származékos ügyletek bevételei (B83)</t>
  </si>
  <si>
    <t>Központi költségvetés sajátos finanszírozási bevételei (B818)</t>
  </si>
  <si>
    <t>Hitel-, kölcsönfelvétel államháztartáson kívülről (B811)</t>
  </si>
  <si>
    <t>Belföldi értékpapírok bevételei (B812)</t>
  </si>
  <si>
    <t>Maradvány igénybevétele (belső finanszírozás) (B813)</t>
  </si>
  <si>
    <t>Államháztartáson belüli megelőlegezések (B814)</t>
  </si>
  <si>
    <t>Államháztartáson belüli megelőlegezések törlesztése (B815)</t>
  </si>
  <si>
    <t>Központi, irányító szervi támogatás (B816)</t>
  </si>
  <si>
    <t>Betétek megszüntetése (belső finanszírozás) (B817)</t>
  </si>
  <si>
    <t>a.</t>
  </si>
  <si>
    <t>b.</t>
  </si>
  <si>
    <t>c.</t>
  </si>
  <si>
    <t>I/2. Munkaadókat terhelő járulékok és szociális hozzájárulási adó (K2)</t>
  </si>
  <si>
    <t>5.4.</t>
  </si>
  <si>
    <t>5.5.</t>
  </si>
  <si>
    <t>5.6.</t>
  </si>
  <si>
    <t>5.7.</t>
  </si>
  <si>
    <t>5.8.</t>
  </si>
  <si>
    <t>6.6.</t>
  </si>
  <si>
    <t>6.7.</t>
  </si>
  <si>
    <t>6.8.</t>
  </si>
  <si>
    <t>6.9.</t>
  </si>
  <si>
    <t>6.10.</t>
  </si>
  <si>
    <t>6.11.</t>
  </si>
  <si>
    <t>6.12.</t>
  </si>
  <si>
    <t>8.6.</t>
  </si>
  <si>
    <t>8.7.</t>
  </si>
  <si>
    <t>10.1.</t>
  </si>
  <si>
    <t>10.2.</t>
  </si>
  <si>
    <t>10.3.</t>
  </si>
  <si>
    <t>10.4.</t>
  </si>
  <si>
    <t>10.5.</t>
  </si>
  <si>
    <t>10.6.</t>
  </si>
  <si>
    <t>10.7.</t>
  </si>
  <si>
    <t>10.8.</t>
  </si>
  <si>
    <t>2. táblázat</t>
  </si>
  <si>
    <t>1. táblázat</t>
  </si>
  <si>
    <t>Ezer forintban!</t>
  </si>
  <si>
    <t>3. táblázat</t>
  </si>
  <si>
    <t>4. táblázat</t>
  </si>
  <si>
    <t>5. táblázat</t>
  </si>
  <si>
    <t>Működési célú belső finanszírozási műveletek bevételei [=1. melléklet 1. táblázat 12.1.3.+12.1.7. sor]</t>
  </si>
  <si>
    <t>Működési célú külső finanszírozási műveletek bevételei [=1. melléklet 1. táblázat 12.1.1.+12.1.2.+12.1.4+…+12.1.6.+12.1.8. sor]</t>
  </si>
  <si>
    <t>Működési célú belső finanszírozási műveletek kiadásai (belső finanszírozás) [=1. melléklet 2. táblázat 13.1.6. sor]</t>
  </si>
  <si>
    <t>Működési célú külső finanszírozási műveletek kiadásai [=1. melléklet 2. táblázat 13.1.1.+…+13.1.5.+13.1.7.+13.1.8. sor]</t>
  </si>
  <si>
    <t>Felhalmozási célú belső finanszírozási műveletek kiadásai (belső finanszírozás) [=1. melléklet 2. táblázat 15.1.6. sor]</t>
  </si>
  <si>
    <t>Felhalmozási célú külső finanszírozási műveletek kiadásai [=1. melléklet 2. táblázat 15.1.1.+…+15.1.5.+15.1.7.+15.1.8. sor]</t>
  </si>
  <si>
    <t>Felhalmozási célú belső finanszírozási műveletek bevételei [=1. melléklet 1. táblázat 14.1.3.+14.1.7. sor]</t>
  </si>
  <si>
    <t>Felhalmozási célú külső finanszírozási műveletek bevételei [=1. melléklet 1. táblázat 14.1.1.+14.1.2.+14.1.4+…+14.1.6.+14.1.8. sor]</t>
  </si>
  <si>
    <t>3.1.1.</t>
  </si>
  <si>
    <t>3.1.2.</t>
  </si>
  <si>
    <t>3.2.1.</t>
  </si>
  <si>
    <t>3.2.2.</t>
  </si>
  <si>
    <r>
      <t xml:space="preserve">I. Működési költségvetés bevételei </t>
    </r>
    <r>
      <rPr>
        <b/>
        <i/>
        <sz val="9"/>
        <rFont val="Times New Roman"/>
        <family val="1"/>
        <charset val="238"/>
      </rPr>
      <t>[=2.+...+5.]</t>
    </r>
  </si>
  <si>
    <r>
      <t xml:space="preserve">I/1. Működési célú támogatások államháztartáson belülről (B1) </t>
    </r>
    <r>
      <rPr>
        <b/>
        <i/>
        <sz val="9"/>
        <rFont val="Times New Roman"/>
        <family val="1"/>
        <charset val="238"/>
      </rPr>
      <t>[=2.1.+…+2.6.]</t>
    </r>
  </si>
  <si>
    <r>
      <t xml:space="preserve">Önkormányzatok működési támogatásai (B11) </t>
    </r>
    <r>
      <rPr>
        <i/>
        <sz val="9"/>
        <rFont val="Times New Roman"/>
        <family val="1"/>
        <charset val="238"/>
      </rPr>
      <t>[=2.1.1.+…+2.1.6.]</t>
    </r>
  </si>
  <si>
    <r>
      <t xml:space="preserve">II. Felhalmozási költségvetés bevételei </t>
    </r>
    <r>
      <rPr>
        <b/>
        <i/>
        <sz val="9"/>
        <rFont val="Times New Roman"/>
        <family val="1"/>
        <charset val="238"/>
      </rPr>
      <t>[=7.+…+9.]</t>
    </r>
  </si>
  <si>
    <r>
      <t xml:space="preserve">II/1. Felhalmozási célú támogatások államháztartáson belülről (B2) </t>
    </r>
    <r>
      <rPr>
        <b/>
        <i/>
        <sz val="9"/>
        <rFont val="Times New Roman"/>
        <family val="1"/>
        <charset val="238"/>
      </rPr>
      <t>[=7.1.+…+7.5.]</t>
    </r>
  </si>
  <si>
    <r>
      <t xml:space="preserve">II/2. Felhalmozási bevételek (B5) </t>
    </r>
    <r>
      <rPr>
        <b/>
        <i/>
        <sz val="9"/>
        <rFont val="Times New Roman"/>
        <family val="1"/>
        <charset val="238"/>
      </rPr>
      <t>[=8.1.+…+8.5.]</t>
    </r>
  </si>
  <si>
    <r>
      <t xml:space="preserve">KÖLTSÉGVETÉSI BEVÉTELEK ÖSSZESEN </t>
    </r>
    <r>
      <rPr>
        <b/>
        <i/>
        <sz val="9"/>
        <rFont val="Times New Roman"/>
        <family val="1"/>
        <charset val="238"/>
      </rPr>
      <t>[=1.+6.]</t>
    </r>
  </si>
  <si>
    <r>
      <t xml:space="preserve">III. Működési finanszírozási bevételek (B81) </t>
    </r>
    <r>
      <rPr>
        <b/>
        <i/>
        <sz val="9"/>
        <rFont val="Times New Roman"/>
        <family val="1"/>
        <charset val="238"/>
      </rPr>
      <t>[=12.]</t>
    </r>
  </si>
  <si>
    <r>
      <t xml:space="preserve">IV. Felhalmozási finanszírozási bevételek (B81) </t>
    </r>
    <r>
      <rPr>
        <b/>
        <i/>
        <sz val="9"/>
        <rFont val="Times New Roman"/>
        <family val="1"/>
        <charset val="238"/>
      </rPr>
      <t>[=14.]</t>
    </r>
  </si>
  <si>
    <r>
      <t xml:space="preserve">FINANSZÍROZÁSI BEVÉTELEK ÖSSZESEN (B8) </t>
    </r>
    <r>
      <rPr>
        <b/>
        <i/>
        <sz val="9"/>
        <rFont val="Times New Roman"/>
        <family val="1"/>
        <charset val="238"/>
      </rPr>
      <t>[=11.+13.]</t>
    </r>
  </si>
  <si>
    <r>
      <t xml:space="preserve">BEVÉTELEK MINDÖSSZESEN </t>
    </r>
    <r>
      <rPr>
        <b/>
        <i/>
        <sz val="9"/>
        <rFont val="Times New Roman"/>
        <family val="1"/>
        <charset val="238"/>
      </rPr>
      <t>[=10.+15.]</t>
    </r>
  </si>
  <si>
    <r>
      <t xml:space="preserve">I. Működési költségvetés kiadásai </t>
    </r>
    <r>
      <rPr>
        <b/>
        <i/>
        <sz val="9"/>
        <rFont val="Times New Roman"/>
        <family val="1"/>
        <charset val="238"/>
      </rPr>
      <t>[=2.+...+6.]</t>
    </r>
  </si>
  <si>
    <r>
      <t xml:space="preserve">I/1. Személyi juttatások (K1) </t>
    </r>
    <r>
      <rPr>
        <b/>
        <i/>
        <sz val="9"/>
        <rFont val="Times New Roman"/>
        <family val="1"/>
        <charset val="238"/>
      </rPr>
      <t>[=2.1.+2.2.]</t>
    </r>
  </si>
  <si>
    <r>
      <t xml:space="preserve">I/4. Ellátottak pénzbeli juttatásai (K4) </t>
    </r>
    <r>
      <rPr>
        <b/>
        <i/>
        <sz val="9"/>
        <rFont val="Times New Roman"/>
        <family val="1"/>
        <charset val="238"/>
      </rPr>
      <t>[=5.1.+…+5.8.]</t>
    </r>
  </si>
  <si>
    <r>
      <t xml:space="preserve">II. Felhalmozási költségvetés kiadásai </t>
    </r>
    <r>
      <rPr>
        <b/>
        <i/>
        <sz val="9"/>
        <rFont val="Times New Roman"/>
        <family val="1"/>
        <charset val="238"/>
      </rPr>
      <t>[=8.+…+10.]</t>
    </r>
  </si>
  <si>
    <r>
      <t xml:space="preserve">II/1. Beruházások (K6) </t>
    </r>
    <r>
      <rPr>
        <b/>
        <i/>
        <sz val="9"/>
        <rFont val="Times New Roman"/>
        <family val="1"/>
        <charset val="238"/>
      </rPr>
      <t>[=8.1.+…+8.7.]</t>
    </r>
  </si>
  <si>
    <r>
      <t xml:space="preserve">II/2. Felújítások (K7) </t>
    </r>
    <r>
      <rPr>
        <b/>
        <i/>
        <sz val="9"/>
        <rFont val="Times New Roman"/>
        <family val="1"/>
        <charset val="238"/>
      </rPr>
      <t>[9.1.+…+9.4.]</t>
    </r>
  </si>
  <si>
    <r>
      <t xml:space="preserve">KÖLTSÉGVETÉSI KIADÁSOK ÖSSZESEN </t>
    </r>
    <r>
      <rPr>
        <b/>
        <i/>
        <sz val="9"/>
        <rFont val="Times New Roman"/>
        <family val="1"/>
        <charset val="238"/>
      </rPr>
      <t>[=1.+7.]</t>
    </r>
  </si>
  <si>
    <r>
      <t xml:space="preserve">III. Működési finanszírozási kiadások (K91) </t>
    </r>
    <r>
      <rPr>
        <b/>
        <i/>
        <sz val="9"/>
        <rFont val="Times New Roman"/>
        <family val="1"/>
        <charset val="238"/>
      </rPr>
      <t>[=12.]</t>
    </r>
  </si>
  <si>
    <r>
      <t xml:space="preserve">IV. Felhalmozási finanszírozási kiadások (K91) </t>
    </r>
    <r>
      <rPr>
        <b/>
        <i/>
        <sz val="9"/>
        <rFont val="Times New Roman"/>
        <family val="1"/>
        <charset val="238"/>
      </rPr>
      <t>[=15.]</t>
    </r>
  </si>
  <si>
    <r>
      <t xml:space="preserve">FINANSZÍROZÁSI KIADÁSOK ÖSSZESEN (K9) </t>
    </r>
    <r>
      <rPr>
        <b/>
        <i/>
        <sz val="9"/>
        <rFont val="Times New Roman"/>
        <family val="1"/>
        <charset val="238"/>
      </rPr>
      <t>[=12.+14.]</t>
    </r>
  </si>
  <si>
    <r>
      <t xml:space="preserve">KÖLTSÉGVETÉSI HIÁNY, TÖBBLET (+/-) </t>
    </r>
    <r>
      <rPr>
        <b/>
        <i/>
        <sz val="9"/>
        <rFont val="Times New Roman"/>
        <family val="1"/>
        <charset val="238"/>
      </rPr>
      <t>[=1.1.+1.2.]</t>
    </r>
  </si>
  <si>
    <r>
      <t xml:space="preserve">Működési célú költségvetési hiány, többlet (+/-) </t>
    </r>
    <r>
      <rPr>
        <i/>
        <sz val="9"/>
        <rFont val="Times New Roman"/>
        <family val="1"/>
        <charset val="238"/>
      </rPr>
      <t>[=1. melléklet 1. táblázat 1. sor - 1. melléklet 2. táblázat 1. sor]</t>
    </r>
  </si>
  <si>
    <r>
      <t xml:space="preserve">Felhalmozási célú költségvetési hiány, többlet (+/-) </t>
    </r>
    <r>
      <rPr>
        <i/>
        <sz val="9"/>
        <rFont val="Times New Roman"/>
        <family val="1"/>
        <charset val="238"/>
      </rPr>
      <t>[=1. melléklet 1. táblázat 6. sor - 1. melléklet 2. táblázat 7. sor]</t>
    </r>
  </si>
  <si>
    <r>
      <t xml:space="preserve">FINANSZÍROZÁSI MŰVELETEK EGYENLEGE (+/-) </t>
    </r>
    <r>
      <rPr>
        <b/>
        <i/>
        <sz val="9"/>
        <rFont val="Times New Roman"/>
        <family val="1"/>
        <charset val="238"/>
      </rPr>
      <t>[=2.+3.]</t>
    </r>
  </si>
  <si>
    <r>
      <t xml:space="preserve">Működési finanszírozási műveletek egyenlege (+/-) </t>
    </r>
    <r>
      <rPr>
        <b/>
        <i/>
        <sz val="9"/>
        <rFont val="Times New Roman"/>
        <family val="1"/>
        <charset val="238"/>
      </rPr>
      <t>[=2.1.-2.2.]</t>
    </r>
  </si>
  <si>
    <r>
      <t xml:space="preserve">Működési finanszírozási műveletek bevételei </t>
    </r>
    <r>
      <rPr>
        <i/>
        <sz val="9"/>
        <rFont val="Times New Roman"/>
        <family val="1"/>
        <charset val="238"/>
      </rPr>
      <t>[=2.1.1.+2.1.2.]</t>
    </r>
  </si>
  <si>
    <r>
      <t xml:space="preserve">Működési finanszírozási műveletek kiadásai </t>
    </r>
    <r>
      <rPr>
        <i/>
        <sz val="9"/>
        <rFont val="Times New Roman"/>
        <family val="1"/>
        <charset val="238"/>
      </rPr>
      <t>[=2.2.1.+2.2.2.]</t>
    </r>
  </si>
  <si>
    <r>
      <t xml:space="preserve">Felhalmozási finanszírozási műveletek egyenlege (+/-) </t>
    </r>
    <r>
      <rPr>
        <b/>
        <i/>
        <sz val="9"/>
        <rFont val="Times New Roman"/>
        <family val="1"/>
        <charset val="238"/>
      </rPr>
      <t>[=3.1-3.2.]</t>
    </r>
  </si>
  <si>
    <r>
      <t xml:space="preserve">Felhalmozási finanszírozási műveletek bevételei </t>
    </r>
    <r>
      <rPr>
        <i/>
        <sz val="9"/>
        <rFont val="Times New Roman"/>
        <family val="1"/>
        <charset val="238"/>
      </rPr>
      <t>[=3.1.1.+3.1.2.]</t>
    </r>
  </si>
  <si>
    <r>
      <t xml:space="preserve">Felhalmozási finanszírozási műveletek kiadásai </t>
    </r>
    <r>
      <rPr>
        <i/>
        <sz val="9"/>
        <rFont val="Times New Roman"/>
        <family val="1"/>
        <charset val="238"/>
      </rPr>
      <t>[=3.2.1.+3.2.2.]</t>
    </r>
  </si>
  <si>
    <r>
      <t xml:space="preserve">Bevételi jogcím (rovatszám) </t>
    </r>
    <r>
      <rPr>
        <b/>
        <i/>
        <sz val="9"/>
        <rFont val="Times New Roman"/>
        <family val="1"/>
        <charset val="238"/>
      </rPr>
      <t>[képlet]</t>
    </r>
  </si>
  <si>
    <r>
      <t>Kiadási jogcím (rovatszám)</t>
    </r>
    <r>
      <rPr>
        <b/>
        <i/>
        <sz val="9"/>
        <rFont val="Times New Roman"/>
        <family val="1"/>
        <charset val="238"/>
      </rPr>
      <t xml:space="preserve"> [képlet]</t>
    </r>
  </si>
  <si>
    <r>
      <t>MINDÖSSZESEN LÉTSZÁM (fő)</t>
    </r>
    <r>
      <rPr>
        <b/>
        <i/>
        <sz val="9"/>
        <rFont val="Times New Roman"/>
        <family val="1"/>
        <charset val="238"/>
      </rPr>
      <t xml:space="preserve"> [=1.+2.]</t>
    </r>
  </si>
  <si>
    <t>HEVES VÁROS ÖNKORMÁNYZATA ÉS KÖLTSÉGVETÉSI SZERVEI</t>
  </si>
  <si>
    <t>2.6.a.</t>
  </si>
  <si>
    <t>- ebből: Működési célú  fejezeti kezelésű előirányzatok EU-s programok és azok hazai társfinanszírozása (B16)</t>
  </si>
  <si>
    <t>7.5.a.</t>
  </si>
  <si>
    <r>
      <t xml:space="preserve">KIADÁSOK MINDÖSSZESEN </t>
    </r>
    <r>
      <rPr>
        <b/>
        <i/>
        <sz val="9"/>
        <rFont val="Times New Roman"/>
        <family val="1"/>
        <charset val="238"/>
      </rPr>
      <t>[=11.+16.]</t>
    </r>
  </si>
  <si>
    <t>6.6.a.</t>
  </si>
  <si>
    <t>- ebből: Működési célú  fejezeti kezelésű előirányzatok EU-s programok és azok hazai társfinanszírozása (K506)</t>
  </si>
  <si>
    <t>- ebből: Felhalmozási célú  fejezeti kezelésű előirányzatok EU-s programok és azok hazai társfinanszírozása (B25)</t>
  </si>
  <si>
    <t>10.4.a.</t>
  </si>
  <si>
    <t>- ebből: Felhalmozási célú  fejezeti kezelésű előirányzatok EU-s programok és azok hazai társfinanszírozása (K84)</t>
  </si>
  <si>
    <t>4.a.</t>
  </si>
  <si>
    <t>- ebből: EU-s forrásból finanszírozott támogatással megvalósuló programok, projektek beruházási kiadásai (K6)</t>
  </si>
  <si>
    <r>
      <t xml:space="preserve">I/3. Dologi kiadások (K3) </t>
    </r>
    <r>
      <rPr>
        <b/>
        <i/>
        <sz val="9"/>
        <rFont val="Times New Roman"/>
        <family val="1"/>
        <charset val="238"/>
      </rPr>
      <t>[=4.1.+…+4.5.]</t>
    </r>
  </si>
  <si>
    <t>9.a.</t>
  </si>
  <si>
    <t>- ebből: EU-s forrásból finanszírozott támogatással megvalósuló programok, projektek felújítási kiadásai (K7)</t>
  </si>
  <si>
    <t>3.a.</t>
  </si>
  <si>
    <t>- ebből: EU-s forrásból finanszírozott támogatással megvalósuló programok, projektek járulék kiadásai (K2)</t>
  </si>
  <si>
    <t>- ebből: EU-s forrásból finanszírozott támogatással megvalósuló programok, projektek dologi kiadásai (K3)</t>
  </si>
  <si>
    <t>2.a.</t>
  </si>
  <si>
    <t>- ebből: EU-s forrásból finanszírozott támogatással megvalósuló programok, projektek személyi juttatás kiadásai (K1)</t>
  </si>
  <si>
    <t>1.a.</t>
  </si>
  <si>
    <t>- ebből: EU-s forrásból finanszírozott támogatással megvalósuló programok, projekteklétszáma</t>
  </si>
  <si>
    <t>1.1. melléklet</t>
  </si>
  <si>
    <t>HEVES VÁROS ÖNKORMÁNYZATA</t>
  </si>
  <si>
    <t>1.2. melléklet</t>
  </si>
  <si>
    <t>1.3. melléklet</t>
  </si>
  <si>
    <t>HEVES VÁROSI ÓVODÁK ÉS BÖLCSŐDE KÖZNEVELÉSI INTÉZMÉNY</t>
  </si>
  <si>
    <t>1.4. melléklet</t>
  </si>
  <si>
    <t>HEVESI KULTURÁLIS KÖZPONT</t>
  </si>
  <si>
    <t>6.a.</t>
  </si>
  <si>
    <t>d.</t>
  </si>
  <si>
    <t>e.</t>
  </si>
  <si>
    <t>8.1.1.</t>
  </si>
  <si>
    <t>8.1.2.</t>
  </si>
  <si>
    <t>8.1.3.</t>
  </si>
  <si>
    <t>8.1.4.</t>
  </si>
  <si>
    <t>8.1.5.</t>
  </si>
  <si>
    <t>8.1.6.</t>
  </si>
  <si>
    <t>8.1.7.</t>
  </si>
  <si>
    <t>8.1.8.</t>
  </si>
  <si>
    <r>
      <t xml:space="preserve">Működési költségvetés bevételei </t>
    </r>
    <r>
      <rPr>
        <b/>
        <i/>
        <sz val="9"/>
        <rFont val="Times New Roman"/>
        <family val="1"/>
        <charset val="238"/>
      </rPr>
      <t>[=2.+...+5.]</t>
    </r>
  </si>
  <si>
    <r>
      <t xml:space="preserve">Működési költségvetés kiadásai </t>
    </r>
    <r>
      <rPr>
        <b/>
        <i/>
        <sz val="9"/>
        <rFont val="Times New Roman"/>
        <family val="1"/>
        <charset val="238"/>
      </rPr>
      <t>[=2.+...+6.]</t>
    </r>
  </si>
  <si>
    <t>Munkaadókat terhelő járulékok és szociális hozzájárulási adó (K2)</t>
  </si>
  <si>
    <t>Működési célú támogatások államháztartáson belülről (B1)</t>
  </si>
  <si>
    <t>Közhatalmi bevételek (B3)</t>
  </si>
  <si>
    <t>Működési bevételek (B4)</t>
  </si>
  <si>
    <t>Működési célú átvett pénzeszközök (B6)</t>
  </si>
  <si>
    <r>
      <t xml:space="preserve">Működési finanszírozási bevételek (B81) </t>
    </r>
    <r>
      <rPr>
        <b/>
        <i/>
        <sz val="9"/>
        <rFont val="Times New Roman"/>
        <family val="1"/>
        <charset val="238"/>
      </rPr>
      <t>[=8.]</t>
    </r>
  </si>
  <si>
    <t>Személyi juttatások (K1)</t>
  </si>
  <si>
    <t>Dologi kiadások (K3)</t>
  </si>
  <si>
    <t>Ellátottak pénzbeli juttatásai (K4)</t>
  </si>
  <si>
    <t>Egyéb működési célú kiadások (K5)</t>
  </si>
  <si>
    <r>
      <t xml:space="preserve">Működési finanszírozási kiadások (K91) </t>
    </r>
    <r>
      <rPr>
        <b/>
        <i/>
        <sz val="9"/>
        <rFont val="Times New Roman"/>
        <family val="1"/>
        <charset val="238"/>
      </rPr>
      <t>[=8.]</t>
    </r>
  </si>
  <si>
    <r>
      <t xml:space="preserve">MŰKÖDÉSI BEVÉTELEK MINDÖSSZESEN </t>
    </r>
    <r>
      <rPr>
        <b/>
        <i/>
        <sz val="9"/>
        <rFont val="Times New Roman"/>
        <family val="1"/>
        <charset val="238"/>
      </rPr>
      <t>[=1.+7.]</t>
    </r>
  </si>
  <si>
    <t>Működési költségvetési hiány</t>
  </si>
  <si>
    <t>Működési költségvetési többlet</t>
  </si>
  <si>
    <r>
      <t xml:space="preserve">MŰKÖDÉSI KIADÁSOK MINDÖSSZESEN </t>
    </r>
    <r>
      <rPr>
        <b/>
        <i/>
        <sz val="9"/>
        <rFont val="Times New Roman"/>
        <family val="1"/>
        <charset val="238"/>
      </rPr>
      <t>[=1.+7.]</t>
    </r>
  </si>
  <si>
    <t>2.a. melléklet</t>
  </si>
  <si>
    <t>Működési finanszírozási műveletek egyenleg (-)</t>
  </si>
  <si>
    <t>Működési finanszírozási műveletek egyenleg (+)</t>
  </si>
  <si>
    <t>2.b. melléklet</t>
  </si>
  <si>
    <r>
      <t xml:space="preserve">Felhalmozási finanszírozási bevételek (B81) </t>
    </r>
    <r>
      <rPr>
        <b/>
        <i/>
        <sz val="9"/>
        <rFont val="Times New Roman"/>
        <family val="1"/>
        <charset val="238"/>
      </rPr>
      <t>[=8.]</t>
    </r>
  </si>
  <si>
    <r>
      <t xml:space="preserve">FELHALMOZÁSI BEVÉTELEK MINDÖSSZESEN </t>
    </r>
    <r>
      <rPr>
        <b/>
        <i/>
        <sz val="9"/>
        <rFont val="Times New Roman"/>
        <family val="1"/>
        <charset val="238"/>
      </rPr>
      <t>[=1.+7.]</t>
    </r>
  </si>
  <si>
    <t>Felhalmozási finanszírozási műveletek egyenleg (-)</t>
  </si>
  <si>
    <t>Felhalmozási finanszírozási műveletek egyenleg (+)</t>
  </si>
  <si>
    <t>Felhalmozási költségvetési többlet</t>
  </si>
  <si>
    <r>
      <t xml:space="preserve">FELHALMOZÁSI KIADÁSOK MINDÖSSZESEN </t>
    </r>
    <r>
      <rPr>
        <b/>
        <i/>
        <sz val="9"/>
        <rFont val="Times New Roman"/>
        <family val="1"/>
        <charset val="238"/>
      </rPr>
      <t>[=1.+7.]</t>
    </r>
  </si>
  <si>
    <r>
      <t xml:space="preserve">Felhalmozási finanszírozási kiadások (K91) </t>
    </r>
    <r>
      <rPr>
        <b/>
        <i/>
        <sz val="9"/>
        <rFont val="Times New Roman"/>
        <family val="1"/>
        <charset val="238"/>
      </rPr>
      <t>[=8.]</t>
    </r>
  </si>
  <si>
    <t>Felhalmozási célú támogatások államháztartáson belülről (B2)</t>
  </si>
  <si>
    <t>Felhalmozási bevételek (B5)</t>
  </si>
  <si>
    <t>Felhalmozási célú átvett pénzeszközök (B7)</t>
  </si>
  <si>
    <r>
      <t xml:space="preserve">Felhalmozási költségvetés bevételei </t>
    </r>
    <r>
      <rPr>
        <b/>
        <i/>
        <sz val="9"/>
        <rFont val="Times New Roman"/>
        <family val="1"/>
        <charset val="238"/>
      </rPr>
      <t>[=2.+...+4.]</t>
    </r>
  </si>
  <si>
    <r>
      <t xml:space="preserve">Felhalmozási költségvetés kiadásai </t>
    </r>
    <r>
      <rPr>
        <b/>
        <i/>
        <sz val="9"/>
        <rFont val="Times New Roman"/>
        <family val="1"/>
        <charset val="238"/>
      </rPr>
      <t>[=2.+...+4.]</t>
    </r>
  </si>
  <si>
    <t>Beruházások (K6)</t>
  </si>
  <si>
    <t>Felújítások (K7)</t>
  </si>
  <si>
    <t>Egyéb felhalmozási célú kiadások (K8)</t>
  </si>
  <si>
    <t>Felhalmozás költségvetési hiány</t>
  </si>
  <si>
    <t>Köztisztviselő</t>
  </si>
  <si>
    <t>Közalkalmazott</t>
  </si>
  <si>
    <t>Munka Törvénykönyv hatálya alá tartozó</t>
  </si>
  <si>
    <t>Heves Város Önkormányzata kötelező feladatok</t>
  </si>
  <si>
    <t>Heves Város Önkormányzata önként vállalt feladatok</t>
  </si>
  <si>
    <t>Heves Város Önkormányzata állami (államigazgatási) feladatok</t>
  </si>
  <si>
    <t>Heves Város Önkormányzata összesen</t>
  </si>
  <si>
    <t>Önkormányzati jogalkotás</t>
  </si>
  <si>
    <t>Építmény üzemeltetés</t>
  </si>
  <si>
    <t>Munkahelyi étkeztetés</t>
  </si>
  <si>
    <t>Heves Városi Óvodák és Bölcsőde Köznevelési Intézmény kötelező feladatok</t>
  </si>
  <si>
    <t>Heves Városi Óvodák és Bölcsőde Köznevelési Intézmény önként vállalt feladatok</t>
  </si>
  <si>
    <t>Heves Városi Óvodák és Bölcsőde Köznevelési Intézmény összesen</t>
  </si>
  <si>
    <t>Hevesi Kulturális Központ kötelező feladatok</t>
  </si>
  <si>
    <t>Hevesi Kulturális Központ önként vállalt feladsatok</t>
  </si>
  <si>
    <t>Hevesi Kulturális Központ összesen</t>
  </si>
  <si>
    <t>Közfoglalkoztatottak éves létszám-előirányzata</t>
  </si>
  <si>
    <t>3. melléklet</t>
  </si>
  <si>
    <t>MINDÖSSZESEN LÉTSZÁM</t>
  </si>
  <si>
    <t>KÖZFOGLALKOZTATOTTAK ÖSSZESEN</t>
  </si>
  <si>
    <t>ENGEDÉLYEZETT LÉTSZÁM ELŐIRÁNYZAT ÖSSZESEN</t>
  </si>
  <si>
    <t>9. melléklet</t>
  </si>
  <si>
    <t>1. EU-s projekt azonosítója, neve:</t>
  </si>
  <si>
    <t>2. EU-s projekt azonosítója, neve:</t>
  </si>
  <si>
    <t>Források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</si>
  <si>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</si>
  <si>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</si>
  <si>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</si>
  <si>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</si>
  <si>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</si>
  <si>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</si>
  <si>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</si>
  <si>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</si>
  <si>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Összesen:</t>
  </si>
  <si>
    <t>3. EU-s projekt azonosítója, neve:</t>
  </si>
  <si>
    <t>4. EU-s projekt azonosítója, neve:</t>
  </si>
  <si>
    <t>4. melléklet</t>
  </si>
  <si>
    <t>2016.</t>
  </si>
  <si>
    <t>Személyi juttatások</t>
  </si>
  <si>
    <t>Munkaadókat terhelő járulékok és szociális hozzájárulási adó</t>
  </si>
  <si>
    <t>Dologi kiadások</t>
  </si>
  <si>
    <t>Ellátottak pénzbeli juttatásai</t>
  </si>
  <si>
    <t>Egyéb működési célú kiadások</t>
  </si>
  <si>
    <t>Beruházások</t>
  </si>
  <si>
    <t>Felújítások</t>
  </si>
  <si>
    <t>Egyéb felhalmozási célú kiadások</t>
  </si>
  <si>
    <t>Kiadások, költségek összesen:</t>
  </si>
  <si>
    <t>EURÓPAI UNIÓS TÁMOGATÁSSAL MEGVALÓSULÓ PROJEKTEK BEVÉTELEI, KIADÁSAI, HOZZÁJÁRULÁSOK</t>
  </si>
  <si>
    <t>5. melléklet</t>
  </si>
  <si>
    <t xml:space="preserve">Saját bevétel és adósságot keletkeztető ügyletből eredő fizetési kötelezettség </t>
  </si>
  <si>
    <t xml:space="preserve"> Ezer forintban !</t>
  </si>
  <si>
    <t>2018.</t>
  </si>
  <si>
    <t>2020.</t>
  </si>
  <si>
    <t>2021.</t>
  </si>
  <si>
    <t>2022.</t>
  </si>
  <si>
    <t>2023.</t>
  </si>
  <si>
    <t>2024.</t>
  </si>
  <si>
    <t>2025.</t>
  </si>
  <si>
    <t>Felvett, átvállalt hitel és annak tőketartozása</t>
  </si>
  <si>
    <t>Felvett, átvállalt kölcsön és annak tőketartozása</t>
  </si>
  <si>
    <t>Hitelviszonyt megtestesítő értékpapír</t>
  </si>
  <si>
    <t>Adott váltó</t>
  </si>
  <si>
    <t>Pénzügyi lízing</t>
  </si>
  <si>
    <t>24.</t>
  </si>
  <si>
    <t>25.</t>
  </si>
  <si>
    <t>26.</t>
  </si>
  <si>
    <t>27.</t>
  </si>
  <si>
    <t>Fejlesztési cél leírása</t>
  </si>
  <si>
    <t>Fejlesztés várható kiadása</t>
  </si>
  <si>
    <r>
      <t>Évek</t>
    </r>
    <r>
      <rPr>
        <vertAlign val="superscript"/>
        <sz val="9"/>
        <rFont val="Times New Roman CE"/>
        <charset val="238"/>
      </rPr>
      <t>1</t>
    </r>
  </si>
  <si>
    <r>
      <rPr>
        <vertAlign val="superscript"/>
        <sz val="9"/>
        <rFont val="Times New Roman CE"/>
        <charset val="238"/>
      </rPr>
      <t>1</t>
    </r>
    <r>
      <rPr>
        <sz val="9"/>
        <rFont val="Times New Roman CE"/>
        <charset val="238"/>
      </rPr>
      <t>A saját bevételeket és a fizetési kötelezettségeket az ügylet futamidejének végéig be kell mutatni, évenkénti bontásban.</t>
    </r>
  </si>
  <si>
    <t>10. melléklet</t>
  </si>
  <si>
    <t>Többéves kihatással járó döntésekből származó kötelezettségek célok szerint, évenkénti bontásban</t>
  </si>
  <si>
    <t>Kötelezettség jogcíme</t>
  </si>
  <si>
    <t>Köt. váll.
 éve</t>
  </si>
  <si>
    <t>Kiadás vonzata évenként</t>
  </si>
  <si>
    <t>9=(4+5+6+7+8)</t>
  </si>
  <si>
    <t>Kötvénykibocsátással kapcsolatos kötelezettségek</t>
  </si>
  <si>
    <t>Európai uniós támogatással megvalósuló projektek</t>
  </si>
  <si>
    <t>28.</t>
  </si>
  <si>
    <t>29.</t>
  </si>
  <si>
    <t>30.</t>
  </si>
  <si>
    <t>Egyéb kötelezettségek</t>
  </si>
  <si>
    <t>6. melléklet</t>
  </si>
  <si>
    <t>7. melléklet</t>
  </si>
  <si>
    <t>(kedvezmények)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</si>
  <si>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</si>
  <si>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</si>
  <si>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</si>
  <si>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</si>
  <si>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</si>
  <si>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>Építményadó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</si>
  <si>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</si>
  <si>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</si>
  <si>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</si>
  <si>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</si>
  <si>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</si>
  <si>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</si>
  <si>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</si>
  <si>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</si>
  <si>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</si>
  <si>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</si>
  <si>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</si>
  <si>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11. melléklet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</si>
  <si>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</si>
  <si>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</si>
  <si>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</si>
  <si>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</si>
  <si>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</si>
  <si>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</si>
  <si>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</si>
  <si>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</si>
  <si>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</si>
  <si>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</si>
  <si>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</si>
  <si>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</si>
  <si>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Bevételek</t>
  </si>
  <si>
    <t>Közhatalmi bevételek</t>
  </si>
  <si>
    <t>Bevételek összesen:</t>
  </si>
  <si>
    <t>Kiadások</t>
  </si>
  <si>
    <t>Kiadások összesen:</t>
  </si>
  <si>
    <t>Működési célú támogatások államháztartáson belülről</t>
  </si>
  <si>
    <t>Működési bevételek</t>
  </si>
  <si>
    <t>Működési célú átvett pénzeszközök</t>
  </si>
  <si>
    <t>Felhalmozási célú támogatások államháztartáson belülről</t>
  </si>
  <si>
    <t>Felhalmozási bevételek</t>
  </si>
  <si>
    <t>Felhalmozási célú átvett pénzeszközök</t>
  </si>
  <si>
    <t>Működési finanszírozási bevételek</t>
  </si>
  <si>
    <t>Felhalmozási finanszírozási bevételek</t>
  </si>
  <si>
    <t>Működési finanszírozási kiadások</t>
  </si>
  <si>
    <t>Felhalmozási finanszírozási kiadások</t>
  </si>
  <si>
    <t>Havi egyenleg</t>
  </si>
  <si>
    <t>Éves halmozott egyenleg</t>
  </si>
  <si>
    <t>(a tárgyévet megelőző két év teljesítési adataival kiegészítve)</t>
  </si>
  <si>
    <t>Jogcím</t>
  </si>
  <si>
    <t>1</t>
  </si>
  <si>
    <t>Óvodaműködtetési támogatás</t>
  </si>
  <si>
    <t>Társulás által fenntartott óvodákba bejáró gyermekek utaztatásának támogatása</t>
  </si>
  <si>
    <t>Egyes szociális és gyermekjóléti feladatok támogatása</t>
  </si>
  <si>
    <t>Szociális étkeztetés</t>
  </si>
  <si>
    <t>Házi segítségnyújtás</t>
  </si>
  <si>
    <t>Falugondnoki vagy tanyagondnoki szolgáltatás</t>
  </si>
  <si>
    <t>Időskorúak nappali intézményi ellátása</t>
  </si>
  <si>
    <t>Fogyatékos és demens személyek nappali intézményi ellátása</t>
  </si>
  <si>
    <t>Hajléktalanok nappali intézményi ellátása</t>
  </si>
  <si>
    <t>V.</t>
  </si>
  <si>
    <t>Forintban!</t>
  </si>
  <si>
    <t>A települési önkormányzatok működésének támogatása</t>
  </si>
  <si>
    <t xml:space="preserve">a) </t>
  </si>
  <si>
    <t>b)</t>
  </si>
  <si>
    <t>ba)</t>
  </si>
  <si>
    <t>bb)</t>
  </si>
  <si>
    <t>bc)</t>
  </si>
  <si>
    <t>bd)</t>
  </si>
  <si>
    <t>c)</t>
  </si>
  <si>
    <t>Egyéb önkormányzati feladatok támogatása</t>
  </si>
  <si>
    <t>d)</t>
  </si>
  <si>
    <t>Nem közművel összegyűjtött háztartási szennyvíz ártalmatlanítása</t>
  </si>
  <si>
    <t>a)</t>
  </si>
  <si>
    <t>e)</t>
  </si>
  <si>
    <t>f)</t>
  </si>
  <si>
    <t>g)</t>
  </si>
  <si>
    <t>h)</t>
  </si>
  <si>
    <t>Pszichiátriai és szenvedélybetegek nappali intézményi ellátása</t>
  </si>
  <si>
    <t>i)</t>
  </si>
  <si>
    <t>j)</t>
  </si>
  <si>
    <t>Bölcsődei ellátás</t>
  </si>
  <si>
    <t>k)</t>
  </si>
  <si>
    <t>Hajléktalanok átmeneti intézményei</t>
  </si>
  <si>
    <t>l)</t>
  </si>
  <si>
    <t>A finanszírozás szempontjából elismert szakmai dolgozók bértámogatása</t>
  </si>
  <si>
    <t>Intézmény-üzemeltetési támogatás</t>
  </si>
  <si>
    <t>Színházművészeti szervezetek támogatása</t>
  </si>
  <si>
    <t>Táncművészeti szervezetek támogatása</t>
  </si>
  <si>
    <t>Zeneművészeti szervezetek támogatása</t>
  </si>
  <si>
    <t>Kötelező önkormányzati feladatot ellátó intézmények fejlesztése, felújítása</t>
  </si>
  <si>
    <t>Óvodai, iskolai és utánpótlás sport infrastruktúra-fejlesztés, felújítás</t>
  </si>
  <si>
    <t>A kötelezően ellátandó helyi közösségi közlekedési feladat támogatása</t>
  </si>
  <si>
    <t>Költségvetési törvény 2. melléklete szerinti támogatások</t>
  </si>
  <si>
    <t>Költségvetési törvény 3. melléklete szerinti támogatások</t>
  </si>
  <si>
    <t>A</t>
  </si>
  <si>
    <t>B</t>
  </si>
  <si>
    <t>C</t>
  </si>
  <si>
    <t>D</t>
  </si>
  <si>
    <t>14. melléklet</t>
  </si>
  <si>
    <t>Kivitelezés kezdési és befejezési éve</t>
  </si>
  <si>
    <t>7=(2-4-5-6)</t>
  </si>
  <si>
    <t>Heves Város Önkormányzata felújításai</t>
  </si>
  <si>
    <t>Heves Város Önkormányzata felújításai összesen:</t>
  </si>
  <si>
    <t>Heves Városi Óvodák és Bölcsőde Köznevelési Intézmény felújításai</t>
  </si>
  <si>
    <t>Heves Városi Óvodák és Bölcsőde Köznevelési Intézmény felújításai összesen:</t>
  </si>
  <si>
    <t>Hevesi Kulturális Központ felújításai összesen:</t>
  </si>
  <si>
    <t>Heves Város Önkormányzata beruházásai</t>
  </si>
  <si>
    <t>Heves Város Önkormányzata beruházásai összesen:</t>
  </si>
  <si>
    <t>Heves Városi Óvodák és Bölcsőde Köznevelési Intézmény beruházásai</t>
  </si>
  <si>
    <t>Heves Városi Óvodák és Bölcsőde Köznevelési Intézmény beruházásai összesen:</t>
  </si>
  <si>
    <t>Hevesi Kulturális Központ beruházásai</t>
  </si>
  <si>
    <t>Hevesi Kulturális Központ beruházásai összesen:</t>
  </si>
  <si>
    <t>Pályázatból támogatás</t>
  </si>
  <si>
    <t xml:space="preserve">Teljes költség </t>
  </si>
  <si>
    <t>BERUHÁZÁSOK MINDÖSSZESEN:</t>
  </si>
  <si>
    <t>FELÚJÍTÁSOK MINDÖSSZESEN:</t>
  </si>
  <si>
    <t>Heves Város Önkormányzata egyéb felhalmozási célú kiadásai</t>
  </si>
  <si>
    <t>Heves Város Önkormányzata egyéb felhalmozási célú kiadásai összesen:</t>
  </si>
  <si>
    <t>Heves Városi Óvodák és Bölcsőde Köznevelési Intézmény egyéb felhalmozási célú kiadásai</t>
  </si>
  <si>
    <t>Heves Városi Óvodák és Bölcsőde Köznevelési Intézmény egyéb felhalmozási célú kiadásai összesen:</t>
  </si>
  <si>
    <t>Hevesi Kulturális Központ egyéb felhalmozási célú kiadásai</t>
  </si>
  <si>
    <t>Hevesi Kulturális Központ egyéb felhalmozási célú kiadásai összesen:</t>
  </si>
  <si>
    <t>EU-s forrásból finanszírozott támogatással megvalósuló programok, projektek beruházási kiadásai</t>
  </si>
  <si>
    <t>EU-s forrásból finanszírozott támogatással megvalósuló programok, projektek beruházási kiadásai összesen:</t>
  </si>
  <si>
    <t>EU-s forrásból finanszírozott támogatással megvalósuló programok, projektek felújítási kiadásai</t>
  </si>
  <si>
    <t>EU-s forrásból finanszírozott támogatással megvalósuló programok, projektek felújítási kiadásai összesen:</t>
  </si>
  <si>
    <t>EGYÉB FELHALMOZÁSI CÉLÚ KIADÁSOK MINDÖSSZESEN:</t>
  </si>
  <si>
    <t>Felhalmozási célú kiadások megnevezése</t>
  </si>
  <si>
    <t>Támogatott szervezet neve</t>
  </si>
  <si>
    <t>Támogatás célja</t>
  </si>
  <si>
    <t>Heves Város Roma Nemzetiségi Önkormányzata</t>
  </si>
  <si>
    <t>működési kiadások</t>
  </si>
  <si>
    <t>Heves Labdarúgó Sport Club</t>
  </si>
  <si>
    <t>HSE</t>
  </si>
  <si>
    <t>Egyéb működési célú támogatások államháztartáson kívülre összesen:</t>
  </si>
  <si>
    <t>Egyéb működési célú támogatások államháztartáson belülre összesen:</t>
  </si>
  <si>
    <t>Egyéb felhalmozási célú támogatások államháztartáson belülre összesen:</t>
  </si>
  <si>
    <t>Egyéb felhalmozási célú támogatások államháztartáson kívülre</t>
  </si>
  <si>
    <t>Egyéb felhalmozási célú támogatások államháztartáson kívülre összesen:</t>
  </si>
  <si>
    <t>E</t>
  </si>
  <si>
    <t>K</t>
  </si>
  <si>
    <t>Adó, illeték kiszabása, beszedése, adóellenőrzés</t>
  </si>
  <si>
    <t>Finanszírozási műveletek</t>
  </si>
  <si>
    <t xml:space="preserve">Országos és helyi népszavazáshoz kapcsolódó tevékenységek </t>
  </si>
  <si>
    <t xml:space="preserve">Rendszeres gyermekvédelmi pénzbeli ellátás </t>
  </si>
  <si>
    <t xml:space="preserve">Kiegészítő gyermekvédelmi támogatás </t>
  </si>
  <si>
    <t>Rendkívüli gyermekvédelmi támogatás</t>
  </si>
  <si>
    <t>Köztemetés</t>
  </si>
  <si>
    <t>Víztermelés-, kezelés-, ellátás</t>
  </si>
  <si>
    <t>Út, autópálya építése</t>
  </si>
  <si>
    <t>Közutak, hidak, alagutak üzemeltetése, fenntartása</t>
  </si>
  <si>
    <t>Közvilágítás</t>
  </si>
  <si>
    <t xml:space="preserve">Város-, községgazdálkodási m.n.s. szolgáltatások </t>
  </si>
  <si>
    <t>Zöldterület-kezelés</t>
  </si>
  <si>
    <t xml:space="preserve">Közterület rendjének fenntartása </t>
  </si>
  <si>
    <t>Ár- és belvízvédelemmel összefüggő tevékenységek</t>
  </si>
  <si>
    <t>Köztemető fenntartás és működtetés</t>
  </si>
  <si>
    <t>Nem lakóingatlan bérbeadása, üzemeltetése</t>
  </si>
  <si>
    <t xml:space="preserve">Központi költségvetési befizetések </t>
  </si>
  <si>
    <t>A polgári védelem ágazati feladatai</t>
  </si>
  <si>
    <t xml:space="preserve">Versenysport-tevékenység és támogatása </t>
  </si>
  <si>
    <t xml:space="preserve">Önkormányzatok m.n.s. nemzetközi kapcsolatai </t>
  </si>
  <si>
    <t xml:space="preserve">Szabadidős park, fürdő és strandszolgáltatás </t>
  </si>
  <si>
    <t xml:space="preserve">Önkormányzatok által nyújtott lakástámogatás </t>
  </si>
  <si>
    <t xml:space="preserve">Sportlétesítmények működtetése és fejlesztése </t>
  </si>
  <si>
    <t>Országgyűlési képviselőválasztáshoz kapcsolódó tevékenységek</t>
  </si>
  <si>
    <t xml:space="preserve">Önkormányzati képviselőválasztáshoz kapcsolódó tevékenységek </t>
  </si>
  <si>
    <t xml:space="preserve">Munkáltatók által nyújtott lakástámogatás </t>
  </si>
  <si>
    <t xml:space="preserve">Rövid időtartamú közfoglalkoztatás </t>
  </si>
  <si>
    <t>Start-munka program – Téli közfoglalkoztatás</t>
  </si>
  <si>
    <t>Közfoglalkoztatási mintaprogram</t>
  </si>
  <si>
    <t xml:space="preserve">Civil szervezetek program- és egyéb támogatása </t>
  </si>
  <si>
    <t>Önkormányzatok és társulások általános végrehajtó igazgatási tevékenysége</t>
  </si>
  <si>
    <t>Önkormányzatok és önkormányzati hivatalok jogalkotó és általános igazgatási tevékenysége</t>
  </si>
  <si>
    <t>011130</t>
  </si>
  <si>
    <t>Adó-, vám- és jövedéki igazgatás</t>
  </si>
  <si>
    <t>011220</t>
  </si>
  <si>
    <t>Forgatási és befektetési célú finanszírozási műveletek</t>
  </si>
  <si>
    <t>900060</t>
  </si>
  <si>
    <t>Országos és helyi népszavazással kapcsolatos tevékenységek</t>
  </si>
  <si>
    <t>016020</t>
  </si>
  <si>
    <t>Helyi nemzetiségi önkormányzatok igazgatási tevékenysége</t>
  </si>
  <si>
    <t>011140</t>
  </si>
  <si>
    <t>106020</t>
  </si>
  <si>
    <t>Lakásfenntartással, lakhatással összefüggő ellátások</t>
  </si>
  <si>
    <t>Betegséggel kapcsolatos pénzbeli ellátások, támogatások</t>
  </si>
  <si>
    <t>101150</t>
  </si>
  <si>
    <t>Gyermekvédelmi pénzbeli és természetbeni ellátások</t>
  </si>
  <si>
    <t>104051</t>
  </si>
  <si>
    <t>107060</t>
  </si>
  <si>
    <t>Egyéb szociális pénzbeli ellátások, támogatások</t>
  </si>
  <si>
    <t>Elhunyt személyek hátramaradottainak pénzbeli ellátása</t>
  </si>
  <si>
    <t>103010</t>
  </si>
  <si>
    <t>Szociális ösztöndíjak</t>
  </si>
  <si>
    <t>094260</t>
  </si>
  <si>
    <t>Hallgatói és oktatói ösztöndíjak, egyéb juttatások</t>
  </si>
  <si>
    <t>Egyéb szociális természetbeni és pénzbeli ellátások</t>
  </si>
  <si>
    <t>063020</t>
  </si>
  <si>
    <t>Víztermelés, -kezelés, -ellátás</t>
  </si>
  <si>
    <t>051030</t>
  </si>
  <si>
    <t>Nem veszélyes (települési) hulladék vegyes (ömlesztett) begyűjtése, szállítása, átrakása</t>
  </si>
  <si>
    <t>045120</t>
  </si>
  <si>
    <t>Városi és elővárosi közúti személyszállítás</t>
  </si>
  <si>
    <t>045140</t>
  </si>
  <si>
    <t>045160</t>
  </si>
  <si>
    <t>064010</t>
  </si>
  <si>
    <t>066020</t>
  </si>
  <si>
    <t>Más szerv részére végzett pénzügyi-gazdálkodási, üzemeltetési, egyéb szolgáltatások</t>
  </si>
  <si>
    <t>013360</t>
  </si>
  <si>
    <t>072210</t>
  </si>
  <si>
    <t>Járóbetegek gyógyító szakellátása</t>
  </si>
  <si>
    <t>013350</t>
  </si>
  <si>
    <t>Állat-egészségügy</t>
  </si>
  <si>
    <t>042180</t>
  </si>
  <si>
    <t>066010</t>
  </si>
  <si>
    <t>Rövid időtartamú közfoglalkoztatás</t>
  </si>
  <si>
    <t>041231</t>
  </si>
  <si>
    <t>041232</t>
  </si>
  <si>
    <t>Foglalkoztatást helyettesítő támogatásra jogosultak hosszabb időtartamú közfoglalkoztatása</t>
  </si>
  <si>
    <t>041233</t>
  </si>
  <si>
    <t>Hosszabb időtartamú közfoglalkoztatás</t>
  </si>
  <si>
    <t>Egyéb közfoglalkoztatás</t>
  </si>
  <si>
    <t>041237</t>
  </si>
  <si>
    <t>041236</t>
  </si>
  <si>
    <t>Országos közfoglalkoztatási program</t>
  </si>
  <si>
    <t>047410</t>
  </si>
  <si>
    <t>Köztemető-fenntartás és -működtetés</t>
  </si>
  <si>
    <t>013320</t>
  </si>
  <si>
    <t>Önkormányzatok és társulások elszámolásai a központi költségvetéssel</t>
  </si>
  <si>
    <t>018020</t>
  </si>
  <si>
    <t>Önkormányzatok elszámolásai a központi költségvetéssel</t>
  </si>
  <si>
    <t>Központi költségvetési befizetések</t>
  </si>
  <si>
    <t>018010</t>
  </si>
  <si>
    <t>A polgári honvédelem ágazati feladatai, a lakosság felkészítése</t>
  </si>
  <si>
    <t>022010</t>
  </si>
  <si>
    <t>Sportlétesítmények, edzőtáborok működtetése és fejlesztése</t>
  </si>
  <si>
    <t>Versenysport-és utánpótlás-nevelési tevékenység</t>
  </si>
  <si>
    <t>081030</t>
  </si>
  <si>
    <t>081041</t>
  </si>
  <si>
    <t>Közbiztonság, közrend igazgatása</t>
  </si>
  <si>
    <t>081061</t>
  </si>
  <si>
    <t>061030</t>
  </si>
  <si>
    <t>Lakáshoz jutást segítő támogatások</t>
  </si>
  <si>
    <t>Civil szervezetek programtámogatása</t>
  </si>
  <si>
    <t>084032</t>
  </si>
  <si>
    <t>Országos és helyi nemzetiségi önkormányzati választásokhoz kapcsolódó tevékenységek</t>
  </si>
  <si>
    <t xml:space="preserve">Európai parlamenti képviselőválasztáshoz kapcsolódó tevékenységek </t>
  </si>
  <si>
    <t>Országgyűlési, önkormányzati és európai parlamenti képviselőválasztásokhoz kapcsolódó tevékenységek</t>
  </si>
  <si>
    <t>016010</t>
  </si>
  <si>
    <t>13. melléklet</t>
  </si>
  <si>
    <t>BEVÉTELI JOGCÍMEK feladatonként</t>
  </si>
  <si>
    <t>Szakfeladat száma</t>
  </si>
  <si>
    <t>ebből:</t>
  </si>
  <si>
    <t>F</t>
  </si>
  <si>
    <t>G</t>
  </si>
  <si>
    <t>H</t>
  </si>
  <si>
    <t>I</t>
  </si>
  <si>
    <t>J</t>
  </si>
  <si>
    <t>L</t>
  </si>
  <si>
    <t>Hevesi Kulturális Központ önként vállalt feladatok</t>
  </si>
  <si>
    <t>KÖLTSÉGVETÉSI BEVÉTELEK ÖSSZESEN:</t>
  </si>
  <si>
    <t>KIADÁSI JOGCÍMEK feladatonként</t>
  </si>
  <si>
    <t>Intézmény / feladat finanszírozás</t>
  </si>
  <si>
    <t>Kiegészítés</t>
  </si>
  <si>
    <t>Egyéb kötelező önkormányzati feladatok</t>
  </si>
  <si>
    <t>Egyéb önállóan vállalt önkormányzati feladatok</t>
  </si>
  <si>
    <t>Egyéb kötelező polgármesteri hivatali feladatok</t>
  </si>
  <si>
    <t>Kormányzati funkció elnevezése</t>
  </si>
  <si>
    <t>Kormányzati funkció</t>
  </si>
  <si>
    <t xml:space="preserve"> Működési célú támogatások államháztartáson belülről</t>
  </si>
  <si>
    <t xml:space="preserve"> Működési bevételek</t>
  </si>
  <si>
    <t xml:space="preserve"> Működési célú átvett pénzeszközök</t>
  </si>
  <si>
    <t xml:space="preserve"> Ellátottak pénzbeli juttatásai</t>
  </si>
  <si>
    <t>Heves Városi Óvodák és Bölcsőde Köznevelési Intézmény állami (államigazgatási) feladatok</t>
  </si>
  <si>
    <t>Hevesi Kulturális Központ állami (államigazgatási) feladatok</t>
  </si>
  <si>
    <t>HEVES VÁROS ÖNKORMÁNYZATA ÉS KÖLTSÉGVETÉSI SZERVEI KÖLTSÉGVETÉSI BEVÉTELI ÉS KIADÁSI ELŐIRÁNYZATAI FELADATONKÉNT</t>
  </si>
  <si>
    <t>KÖLTSÉGVETÉSI BEVÉTELEK / KIADÁSOK ÖSSZESEN</t>
  </si>
  <si>
    <t>FINANSZÍROZÁSI BEVÉTELEK / KIADÁSOK</t>
  </si>
  <si>
    <t>BEVÉTELEK / KIADÁSOK MINDÖSSZESEN</t>
  </si>
  <si>
    <t>Szociális juttatások</t>
  </si>
  <si>
    <t>Önkormányzatok és társulások általános végrehajtó igazgatási tevékenysége és építmény üzemeltetés</t>
  </si>
  <si>
    <t>EU-s pályázatok</t>
  </si>
  <si>
    <t>Közterülethasználat</t>
  </si>
  <si>
    <t>Építményüzemeltetés</t>
  </si>
  <si>
    <t>3.6.</t>
  </si>
  <si>
    <r>
      <t xml:space="preserve">I/2. Közhatalmi bevételek (B3) </t>
    </r>
    <r>
      <rPr>
        <b/>
        <i/>
        <sz val="9"/>
        <rFont val="Times New Roman"/>
        <family val="1"/>
        <charset val="238"/>
      </rPr>
      <t>[=3.1.+…+3.6.]</t>
    </r>
  </si>
  <si>
    <t>Egyéb közhatalmi bevételek (B36)</t>
  </si>
  <si>
    <t>12. melléklet</t>
  </si>
  <si>
    <t>15. melléklet</t>
  </si>
  <si>
    <t>Adatszolgáltatás az elismert tartozásállományról</t>
  </si>
  <si>
    <t>Költségvetési szerv neve:</t>
  </si>
  <si>
    <t>…………………………………</t>
  </si>
  <si>
    <t>Költségvetési szerv számlaszáma:</t>
  </si>
  <si>
    <t>Éves eredeti kiadási előirányzat: …………… ezer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</si>
  <si>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</si>
  <si>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</si>
  <si>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</si>
  <si>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</si>
  <si>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60-90 nap 
közötti 
állomány</t>
  </si>
  <si>
    <t>90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</si>
  <si>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</si>
  <si>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</si>
  <si>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</si>
  <si>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</si>
  <si>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</si>
  <si>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</si>
  <si>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</si>
  <si>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</si>
  <si>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Intézmény</t>
  </si>
  <si>
    <t>Nyersanyagnorma</t>
  </si>
  <si>
    <t>Áfa nélkül</t>
  </si>
  <si>
    <t>Áfá-val</t>
  </si>
  <si>
    <t>Reggeli</t>
  </si>
  <si>
    <t>Tízórai</t>
  </si>
  <si>
    <t>Ebéd</t>
  </si>
  <si>
    <t>Uzsonna</t>
  </si>
  <si>
    <t>1. függelék</t>
  </si>
  <si>
    <t>Évek</t>
  </si>
  <si>
    <t>2. függelék</t>
  </si>
  <si>
    <t>Útkarbantartás</t>
  </si>
  <si>
    <t>Kisteherautó, munkagépek üzemeltetése (üzemanyag, karbantartás, javítás)</t>
  </si>
  <si>
    <t>közfoglalkoztatás</t>
  </si>
  <si>
    <t>Általános iskola háromszori étkezés</t>
  </si>
  <si>
    <t>Óvoda háromszori étkezés</t>
  </si>
  <si>
    <t>Bölcsöde négyszeri étkezés</t>
  </si>
  <si>
    <t>Térítési díjak (Áfá-val)</t>
  </si>
  <si>
    <t>hkk</t>
  </si>
  <si>
    <t>1.3.</t>
  </si>
  <si>
    <t>1.4.</t>
  </si>
  <si>
    <t>1.5.</t>
  </si>
  <si>
    <t>1.6.</t>
  </si>
  <si>
    <t>1.7.</t>
  </si>
  <si>
    <t>1.8.</t>
  </si>
  <si>
    <t>Dr. Szegő Imre Idősek és Mozgásfogyatékosok Otthona, Fehér Hárs Idősek Otthona, Gondozási Központ</t>
  </si>
  <si>
    <t>Önkormányzati kiegészítések feladatonként</t>
  </si>
  <si>
    <t xml:space="preserve">J e g y z é k </t>
  </si>
  <si>
    <t>Kötelező tartalom (Áht. 23. § (2) bekezdése és az Ávr. 24. §-a szerint)</t>
  </si>
  <si>
    <t>Működési célú bevételek és kiadások mérlege (önkormányzati összesen)</t>
  </si>
  <si>
    <t>Felhalmozási célú bevételek és kiadások mérlege (önkormányzati összesen)</t>
  </si>
  <si>
    <t>Európai uniós támogatással megvalósuló projektek bevételei, kiadásai, hozzájárulások</t>
  </si>
  <si>
    <t>Az önkormányzat adósságot keletkeztető ügyletekből és kezességvállalásokból fennálló kötelezettségei, fejlesztési céljai, fizetési kötelezettség megállapításához saját bevételei részletezése</t>
  </si>
  <si>
    <t>Kötelező tájékoztatás (Áht. 24. § (4) bekezdése szerint)</t>
  </si>
  <si>
    <t>8. melléklet</t>
  </si>
  <si>
    <t>Egyéb nem kötelező tartalom</t>
  </si>
  <si>
    <t>Az önkormányzat bevételi és kiadási előirányzatai feladatonként</t>
  </si>
  <si>
    <t>Önkormányzati kiegészítés feladatonként</t>
  </si>
  <si>
    <t>16. melléklet</t>
  </si>
  <si>
    <t>Függelékek</t>
  </si>
  <si>
    <t>Az önkormányzati vagyon és az önkormányzatot megillető vagyoni értékű jog értékesítéséből és hasznosításából származó bevétel</t>
  </si>
  <si>
    <t>Osztalék, a koncessziós díj és a hozambevétel</t>
  </si>
  <si>
    <t>Tárgyi eszköz és az immateriális jószág, részvény, részesedés, vállalat értékesítéséből vagy privatizációból származó bevétel</t>
  </si>
  <si>
    <t>Bírság-, pótlék- és díjbevétel</t>
  </si>
  <si>
    <r>
      <t>Saját bevételek (1.+...+6.)</t>
    </r>
    <r>
      <rPr>
        <b/>
        <vertAlign val="superscript"/>
        <sz val="9"/>
        <rFont val="Times New Roman CE"/>
        <charset val="238"/>
      </rPr>
      <t>2</t>
    </r>
  </si>
  <si>
    <r>
      <t>Saját bevételek (7. sor) 50%-a</t>
    </r>
    <r>
      <rPr>
        <b/>
        <vertAlign val="superscript"/>
        <sz val="9"/>
        <rFont val="Times New Roman CE"/>
        <charset val="238"/>
      </rPr>
      <t>2</t>
    </r>
  </si>
  <si>
    <t>Saját bevételek (7. sor) 50%-a</t>
  </si>
  <si>
    <t>Saját bevételek (1.+...+6.)</t>
  </si>
  <si>
    <t>Halasztott fizetés, részletfizetés</t>
  </si>
  <si>
    <t>Visszavásárlási kötelezettség kikötésével megkötött adásvételi szerződés eladói félként történő megkötése a visszavásárlásig, és a kikötött visszavásárlási ár</t>
  </si>
  <si>
    <t>Hitelintézetek által, származékos műveletek különbözeteként az Államadósság Kezelő Központ Zrt.-nél elhelyezett fedezeti betétek, és azok összege</t>
  </si>
  <si>
    <r>
      <t>Előző év(ek)ben keletkezett tárgyévet terhelő fizetési kötelezettség</t>
    </r>
    <r>
      <rPr>
        <b/>
        <vertAlign val="superscript"/>
        <sz val="9"/>
        <rFont val="Times New Roman CE"/>
        <charset val="238"/>
      </rPr>
      <t>3</t>
    </r>
    <r>
      <rPr>
        <b/>
        <sz val="9"/>
        <rFont val="Times New Roman CE"/>
        <charset val="238"/>
      </rPr>
      <t xml:space="preserve"> (10.+...+18.)</t>
    </r>
  </si>
  <si>
    <r>
      <t>Tárgyévben keletkezett, illetve keletkező, tárgyévet terhelő fizetési kötelezettség</t>
    </r>
    <r>
      <rPr>
        <b/>
        <vertAlign val="superscript"/>
        <sz val="9"/>
        <rFont val="Times New Roman CE"/>
        <charset val="238"/>
      </rPr>
      <t xml:space="preserve">3 </t>
    </r>
    <r>
      <rPr>
        <b/>
        <sz val="9"/>
        <rFont val="Times New Roman CE"/>
        <charset val="238"/>
      </rPr>
      <t>(20.+...+28.)</t>
    </r>
  </si>
  <si>
    <t>Fizetési kötelezettség összesen (9.+19.)</t>
  </si>
  <si>
    <t>Fizetési kötelezettséggel csökkentett saját bevétel (8.-29.)</t>
  </si>
  <si>
    <t>Előző év(ek)ben keletkezett tárgyévet terhelő fizetési kötelezettség (10.+...+18.)</t>
  </si>
  <si>
    <t>Tárgyévben keletkezett, illetve keletkező, tárgyévet terhelő fizetési kötelezettség (20.+...+28.)</t>
  </si>
  <si>
    <t>Országos és helyi nemzetiségi önkormányzatok igazgatási tevékenysége</t>
  </si>
  <si>
    <t>HEVES VÁROSI MEZEI ŐRSZOLGÁLAT</t>
  </si>
  <si>
    <t>Heves Városi Mezei Őrszolgálat kötelező feladatok</t>
  </si>
  <si>
    <t>Heves Városi Mezei Őrszolgálat önként vállalt feladatok</t>
  </si>
  <si>
    <t>Heves Városi Mezei Őrszolgálat összesen</t>
  </si>
  <si>
    <t>Heves Városi Mezei Őrszolgálat beruházásai összesen:</t>
  </si>
  <si>
    <t>Heves Városi Mezei Őrszolgálat beruházásai</t>
  </si>
  <si>
    <t>Heves Városi Mezei Őrszolgálat egyéb felhalmozási célú kiadásai</t>
  </si>
  <si>
    <t>Heves Városi Mezei Őrszolgálat egyéb felhalmozási célú kiadásai összesen:</t>
  </si>
  <si>
    <t>1.5. melléklet</t>
  </si>
  <si>
    <t>HEVESI KÖZÖS ÖNKORMÁNYZATI HIVATAL</t>
  </si>
  <si>
    <t>Hevesi Közös Önkormányzati Hivatal kötelező feladatok</t>
  </si>
  <si>
    <t>Hevesi Közös Önkormányzati Hivatal önként vállalt feladatok</t>
  </si>
  <si>
    <t>Hevesi Közös Önkormányzati Hivatal állami (államigazgatási) feladatok</t>
  </si>
  <si>
    <t>Hevesi Közös Önkormányzati Hivatal összesen</t>
  </si>
  <si>
    <t>Hevesi Közös Önkormányzati Hivatal beruházásai</t>
  </si>
  <si>
    <t>Hevesi Közös Önkormányzati Hivatal beruházásai összesen:</t>
  </si>
  <si>
    <t>Hevesi Közös Önkormányzati Hivatal felújításai</t>
  </si>
  <si>
    <t>Hevesi Közös Önkormányzati Hivatal felújításai összesen:</t>
  </si>
  <si>
    <t>Hevesi Közös Önkormányzati Hivatal egyéb felhalmozási célú kiadásai</t>
  </si>
  <si>
    <t>Hevesi Közös Önkormányzati Hivatal egyéb felhalmozási célú kiadásai összesen:</t>
  </si>
  <si>
    <t>Megyei önkormányzatok rendkívüli támogatása</t>
  </si>
  <si>
    <t>Közművelődési érdekeltségnövelő támogatás, muzeális intézmények szakmai támogatása</t>
  </si>
  <si>
    <t>Közművelődési érdekeltségnövelő támogatás</t>
  </si>
  <si>
    <t>Muzeális intézmények szakmai támogatása (Kubinyi Ágoston Program)</t>
  </si>
  <si>
    <r>
      <t>A HELYI ÖNKORMÁNYZATOK ÁLTALÁNOS MŰKÖDÉSÉNEK ÉS ÁGAZATI FELADATAINAK TÁMOGATÁSA</t>
    </r>
    <r>
      <rPr>
        <b/>
        <i/>
        <sz val="9"/>
        <rFont val="Times New Roman CE"/>
        <charset val="238"/>
      </rPr>
      <t xml:space="preserve"> [I.+...+V.]</t>
    </r>
  </si>
  <si>
    <t>Vis maior támogatás</t>
  </si>
  <si>
    <t>M</t>
  </si>
  <si>
    <t>N</t>
  </si>
  <si>
    <t>O</t>
  </si>
  <si>
    <t>Heves Városi Mezei Őrszolgálat állami (államigazgatási) feladatok</t>
  </si>
  <si>
    <t>Hevesi Kulturális Központ felújításai</t>
  </si>
  <si>
    <t>Heves Városi Mezei Őrszolgálat felújításai</t>
  </si>
  <si>
    <t>Működési célú hiteltörlesztés</t>
  </si>
  <si>
    <t>Felhalmozási célú hiteltörlesztés</t>
  </si>
  <si>
    <t>KÖLTSÉGVETÉSI KIADÁSOK ÖSSZESEN:</t>
  </si>
  <si>
    <t>Egyéb önállóan vállalt közös önkormányzati hivatali feladatok</t>
  </si>
  <si>
    <t>Működési célú költségvetési támogatások és kiegészítő támogatások (B115)</t>
  </si>
  <si>
    <t>Elszámolásból származó bevételek (B116)</t>
  </si>
  <si>
    <t>4.11.</t>
  </si>
  <si>
    <t>Biztosító által fizetett kártérítés (B410)</t>
  </si>
  <si>
    <t>Egyéb működési bevételek (B411)</t>
  </si>
  <si>
    <t>Működési célú visszatérítendő támogatások, kölcsönök visszatérülése az Európai Uniótól (B62)</t>
  </si>
  <si>
    <t>Működési célú visszatérítendő támogatások, kölcsönök visszatérülése kormányoktól és más nemzetközi szervezetektől (B63)</t>
  </si>
  <si>
    <t>Működési célú visszatérítendő támogatások, kölcsönök visszatérülése államháztartáson kívülről (B64)</t>
  </si>
  <si>
    <t>Egyéb működési célú átvett pénzeszközök (B65)</t>
  </si>
  <si>
    <t>9.5.</t>
  </si>
  <si>
    <t>Felhalmozási célú visszatérítendő támogatások, kölcsönök visszatérülése államháztartáson kívülről (B74)</t>
  </si>
  <si>
    <t>Egyéb felhalmozási célú átvett pénzeszközök (B75)</t>
  </si>
  <si>
    <r>
      <t xml:space="preserve">II/3.Felhalmozási célú átvett pénzeszközök (B7) </t>
    </r>
    <r>
      <rPr>
        <b/>
        <i/>
        <sz val="9"/>
        <rFont val="Times New Roman"/>
        <family val="1"/>
        <charset val="238"/>
      </rPr>
      <t>[9.1.+…+9.5.]</t>
    </r>
  </si>
  <si>
    <t>Felhalmozási célú visszatérítendő támogatások, kölcsönök visszatérülése az Európai Uniótól (B72)</t>
  </si>
  <si>
    <t>Felhalmozási célú visszatérítendő támogatások, kölcsönök visszatérülése kormányoktól és más nemzetközi szervezetektől (B73)</t>
  </si>
  <si>
    <t>Hitel-, kölcsönfelvétel pénzügyi vállalkozástól (B811)</t>
  </si>
  <si>
    <r>
      <t xml:space="preserve">Belföldi finanszírozás bevételei (B81) </t>
    </r>
    <r>
      <rPr>
        <i/>
        <sz val="9"/>
        <rFont val="Times New Roman"/>
        <family val="1"/>
        <charset val="238"/>
      </rPr>
      <t>[=12.1.1.+…+12.1.9.]</t>
    </r>
  </si>
  <si>
    <t>12.1.9.</t>
  </si>
  <si>
    <t>Tulajdonosi kölcsönök bevételei (B819)</t>
  </si>
  <si>
    <t>12.4.</t>
  </si>
  <si>
    <t>Váltóbevételek (B84)</t>
  </si>
  <si>
    <r>
      <t xml:space="preserve">III/1. Működési célú finanszírozási bevételek (B81) </t>
    </r>
    <r>
      <rPr>
        <b/>
        <i/>
        <sz val="9"/>
        <rFont val="Times New Roman"/>
        <family val="1"/>
        <charset val="238"/>
      </rPr>
      <t>[=12.1.+…+12.4.]</t>
    </r>
  </si>
  <si>
    <t>14.1.9.</t>
  </si>
  <si>
    <r>
      <t xml:space="preserve">IV/1. Felhalmozási célú finanszírozási bevételek (B81) </t>
    </r>
    <r>
      <rPr>
        <b/>
        <i/>
        <sz val="9"/>
        <rFont val="Times New Roman"/>
        <family val="1"/>
        <charset val="238"/>
      </rPr>
      <t>[=14.1.+…+14.4.]</t>
    </r>
  </si>
  <si>
    <t>14.4.</t>
  </si>
  <si>
    <t>6.13.</t>
  </si>
  <si>
    <t>6.13.1.</t>
  </si>
  <si>
    <t>6.13.2.</t>
  </si>
  <si>
    <r>
      <t xml:space="preserve">I/5. Egyéb működési célú kiadások (K5) </t>
    </r>
    <r>
      <rPr>
        <b/>
        <i/>
        <sz val="9"/>
        <rFont val="Times New Roman"/>
        <family val="1"/>
        <charset val="238"/>
      </rPr>
      <t>[=6.1.+…+6.13.]</t>
    </r>
  </si>
  <si>
    <t>Működési célú támogatások az Európai Uniónak (K511)</t>
  </si>
  <si>
    <t>Egyéb működési célú támogatások államháztartáson kívülre (K512)</t>
  </si>
  <si>
    <r>
      <t>Tartalékok (K513)</t>
    </r>
    <r>
      <rPr>
        <i/>
        <sz val="9"/>
        <rFont val="Times New Roman"/>
        <family val="1"/>
        <charset val="238"/>
      </rPr>
      <t xml:space="preserve"> [=6.13.1.+6.13.2.]</t>
    </r>
  </si>
  <si>
    <t>Általános tartalék (K513)</t>
  </si>
  <si>
    <t>Céltartalék (K513)</t>
  </si>
  <si>
    <t>- ebből: Működési célú fejezeti kezelésű előirányzatok EU-s programok és azok hazai társfinanszírozása (K506)</t>
  </si>
  <si>
    <t>8.a.</t>
  </si>
  <si>
    <t>10.9.</t>
  </si>
  <si>
    <r>
      <t xml:space="preserve">II/3. Egyéb felhalmozási célú kiadások (K8) </t>
    </r>
    <r>
      <rPr>
        <b/>
        <i/>
        <sz val="9"/>
        <rFont val="Times New Roman"/>
        <family val="1"/>
        <charset val="238"/>
      </rPr>
      <t>[=10.1.+…+10.9.]</t>
    </r>
  </si>
  <si>
    <t>Felhalmozási célú támogatások az Európai Uniónak (K88)</t>
  </si>
  <si>
    <t>Egyéb felhalmozási célú támogatások államháztartáson kívülre  (K89)</t>
  </si>
  <si>
    <t>15.1.9.</t>
  </si>
  <si>
    <r>
      <t xml:space="preserve">IV/1. Felhalmozási célú finanszírozási kiadások (K91) </t>
    </r>
    <r>
      <rPr>
        <b/>
        <i/>
        <sz val="9"/>
        <rFont val="Times New Roman"/>
        <family val="1"/>
        <charset val="238"/>
      </rPr>
      <t>[=15.1.+…+15.4.]</t>
    </r>
  </si>
  <si>
    <t>Tulajdonosi kölcsönök kiadásai (K919)</t>
  </si>
  <si>
    <t>Váltókiadások (K94)</t>
  </si>
  <si>
    <t>15.4.</t>
  </si>
  <si>
    <t>13.4.</t>
  </si>
  <si>
    <r>
      <t xml:space="preserve">III/1. Működési célú finanszírozási kiadások (K91) </t>
    </r>
    <r>
      <rPr>
        <b/>
        <i/>
        <sz val="9"/>
        <rFont val="Times New Roman"/>
        <family val="1"/>
        <charset val="238"/>
      </rPr>
      <t>[=12.1.+…+12.4.]</t>
    </r>
  </si>
  <si>
    <r>
      <t xml:space="preserve">Belföldi finanszírozás kiadásai (K91) </t>
    </r>
    <r>
      <rPr>
        <i/>
        <sz val="9"/>
        <rFont val="Times New Roman"/>
        <family val="1"/>
        <charset val="238"/>
      </rPr>
      <t>[=13.1.1.+…+13.1.9.]</t>
    </r>
  </si>
  <si>
    <t>8.1.9.</t>
  </si>
  <si>
    <r>
      <t xml:space="preserve">Belföldi finanszírozás bevételei (B81) </t>
    </r>
    <r>
      <rPr>
        <i/>
        <sz val="9"/>
        <rFont val="Times New Roman"/>
        <family val="1"/>
        <charset val="238"/>
      </rPr>
      <t>[=8.1.1.+…+8.1.9.]</t>
    </r>
  </si>
  <si>
    <r>
      <t xml:space="preserve">Belföldi finanszírozás kiadásai (K91) </t>
    </r>
    <r>
      <rPr>
        <i/>
        <sz val="9"/>
        <rFont val="Times New Roman"/>
        <family val="1"/>
        <charset val="238"/>
      </rPr>
      <t>[=8.1.1.+…+8.1.9.]</t>
    </r>
  </si>
  <si>
    <r>
      <t xml:space="preserve">Működési célú finanszírozási kiadások (K91) </t>
    </r>
    <r>
      <rPr>
        <i/>
        <sz val="9"/>
        <rFont val="Times New Roman"/>
        <family val="1"/>
        <charset val="238"/>
      </rPr>
      <t>[=8.1.+…+8.4.]</t>
    </r>
  </si>
  <si>
    <r>
      <t xml:space="preserve">Működési célú finanszírozási bevételek (B81) </t>
    </r>
    <r>
      <rPr>
        <i/>
        <sz val="9"/>
        <rFont val="Times New Roman"/>
        <family val="1"/>
        <charset val="238"/>
      </rPr>
      <t>[=8.1.+…+8.4.]</t>
    </r>
  </si>
  <si>
    <r>
      <t xml:space="preserve">Felhalmozási célú finanszírozási bevételek (B81) </t>
    </r>
    <r>
      <rPr>
        <i/>
        <sz val="9"/>
        <rFont val="Times New Roman"/>
        <family val="1"/>
        <charset val="238"/>
      </rPr>
      <t>[=14.1.+…+14.3.]</t>
    </r>
  </si>
  <si>
    <r>
      <t xml:space="preserve">Felhalmozási célú finanszírozási kiadások (K91) </t>
    </r>
    <r>
      <rPr>
        <i/>
        <sz val="9"/>
        <rFont val="Times New Roman"/>
        <family val="1"/>
        <charset val="238"/>
      </rPr>
      <t>[=15.1.+…+15.4.]</t>
    </r>
  </si>
  <si>
    <t>3.7.</t>
  </si>
  <si>
    <t>3.8.</t>
  </si>
  <si>
    <t>3.9.</t>
  </si>
  <si>
    <t>TERVEZETT BERUHÁZÁSOK, FELÚJÍTÁSOK, PÁLYÁZATOK</t>
  </si>
  <si>
    <t>Felhalmozási célú  fejezeti kezelésű előirányzatok EU-s programok és azok hazai társfinanszírozása</t>
  </si>
  <si>
    <t>Felhalmozási célú  fejezeti kezelésű előirányzatok EU-s programok és azok hazai társfinanszírozása összesen:</t>
  </si>
  <si>
    <t>Adónem</t>
  </si>
  <si>
    <t>Decemer</t>
  </si>
  <si>
    <t>Iparüzési</t>
  </si>
  <si>
    <t>Mag.sz. komm.</t>
  </si>
  <si>
    <t>Építmény</t>
  </si>
  <si>
    <t>Gépjármű+egyéb</t>
  </si>
  <si>
    <t>Idegenforg.</t>
  </si>
  <si>
    <t>Pótlék, bírság</t>
  </si>
  <si>
    <t>Helyi adóból és a települési adóból származó bevétel</t>
  </si>
  <si>
    <t>Kezesség-, illetve garanciavállalással kapcsolatos megtérülés</t>
  </si>
  <si>
    <t>Kezesség-, illetve garanciavállalásból eredő fizetési kötelezettség</t>
  </si>
  <si>
    <r>
      <rPr>
        <vertAlign val="superscript"/>
        <sz val="9"/>
        <rFont val="Times New Roman CE"/>
        <charset val="238"/>
      </rPr>
      <t>2</t>
    </r>
    <r>
      <rPr>
        <sz val="9"/>
        <rFont val="Times New Roman CE"/>
        <charset val="238"/>
      </rPr>
      <t xml:space="preserve"> A tárgyévet követő 3. évtől a futamidő végéig változatlan összeggel.</t>
    </r>
  </si>
  <si>
    <r>
      <t xml:space="preserve">I/3. Működési bevételek (B4) </t>
    </r>
    <r>
      <rPr>
        <b/>
        <i/>
        <sz val="9"/>
        <rFont val="Times New Roman"/>
        <family val="1"/>
        <charset val="238"/>
      </rPr>
      <t>[=4.1.+…+4.11.]</t>
    </r>
  </si>
  <si>
    <r>
      <t xml:space="preserve">I/4. Működési célú átvett pénzeszközök (B6) </t>
    </r>
    <r>
      <rPr>
        <b/>
        <i/>
        <sz val="9"/>
        <rFont val="Times New Roman"/>
        <family val="1"/>
        <charset val="238"/>
      </rPr>
      <t>[=5.1.+…+5.5.]</t>
    </r>
  </si>
  <si>
    <r>
      <t xml:space="preserve">Belföldi finanszírozás bevételei (B811) </t>
    </r>
    <r>
      <rPr>
        <i/>
        <sz val="9"/>
        <rFont val="Times New Roman"/>
        <family val="1"/>
        <charset val="238"/>
      </rPr>
      <t>[=14.1.1.+…+14.1.9.]</t>
    </r>
  </si>
  <si>
    <r>
      <t xml:space="preserve">Belföldi finanszírozás kiadásai (K91) </t>
    </r>
    <r>
      <rPr>
        <i/>
        <sz val="9"/>
        <rFont val="Times New Roman"/>
        <family val="1"/>
        <charset val="238"/>
      </rPr>
      <t>[=15.1.1.+…+15.1.9.]</t>
    </r>
  </si>
  <si>
    <r>
      <t>VIS MAIOR TÁMOGATÁS</t>
    </r>
    <r>
      <rPr>
        <b/>
        <i/>
        <sz val="9"/>
        <rFont val="Times New Roman CE"/>
        <charset val="238"/>
      </rPr>
      <t xml:space="preserve"> [=1.]</t>
    </r>
  </si>
  <si>
    <r>
      <t>ÖNKORMÁNYZATI TÁMOGATÁSOK MINDÖSSZESEN:</t>
    </r>
    <r>
      <rPr>
        <b/>
        <i/>
        <sz val="9"/>
        <rFont val="Times New Roman CE"/>
        <charset val="238"/>
      </rPr>
      <t xml:space="preserve"> [A+B]</t>
    </r>
  </si>
  <si>
    <t>vár</t>
  </si>
  <si>
    <t>járulék</t>
  </si>
  <si>
    <t>bér</t>
  </si>
  <si>
    <t>Forintban !</t>
  </si>
  <si>
    <t>Kamatbevételek és más nyereségjellegű bevételek (B408)</t>
  </si>
  <si>
    <t>2026.</t>
  </si>
  <si>
    <t>HEVA Kft.</t>
  </si>
  <si>
    <t>Megyei önkormányzatok feladatainak támogatása</t>
  </si>
  <si>
    <t>Határátkelőhelyek fenntartásának támogatása</t>
  </si>
  <si>
    <t>A települési önkormányzatok szociális feladatainak egyéb támogatása</t>
  </si>
  <si>
    <t>Család- és gyermekjóléti szolgálat</t>
  </si>
  <si>
    <t>Család- és gyermekjóléti központ</t>
  </si>
  <si>
    <t>A települési önkormányzatok által biztosított egyes szociális szakosított ellátások, valamint a gyermekek átmeneti gondozásával kapcsolatos feladatok támogatása</t>
  </si>
  <si>
    <t>Az intézményi gyermekétkeztetés kapcsán az étkeztetési feladatot ellátók után járó bértámogatás</t>
  </si>
  <si>
    <t>Az intézményi gyermekétkeztetés üzemeltetési támogatása</t>
  </si>
  <si>
    <t>A települési önkormányzatok könyvtári célú érdekeltségnövelő támogatása</t>
  </si>
  <si>
    <t>Belterületi utak, járdák, hidak felújítása</t>
  </si>
  <si>
    <t>Járásszékhely múzeumok szakmai támogatása</t>
  </si>
  <si>
    <t>Önkormányzati étkeztetési fejlesztések támogatása</t>
  </si>
  <si>
    <t>Önkormányzatok rendkívüli támogatása</t>
  </si>
  <si>
    <t>Önkormányzati elszámolások</t>
  </si>
  <si>
    <t>Önkormányzatok és társulások igazgatási tevékenysége</t>
  </si>
  <si>
    <t>016030</t>
  </si>
  <si>
    <t>Állampolgársági ügyek</t>
  </si>
  <si>
    <t>Területi általános végrehajtó igazgatási tevékenység</t>
  </si>
  <si>
    <t>016080</t>
  </si>
  <si>
    <t>Kiemelt állami és önkormányzati rendezvények</t>
  </si>
  <si>
    <t>Nemzeti ünnepek programjai</t>
  </si>
  <si>
    <t>018030</t>
  </si>
  <si>
    <t>Támogatási célú finanszírozási műveletek</t>
  </si>
  <si>
    <t>Állat-egészségügyi ellátás</t>
  </si>
  <si>
    <t>Építésügy igazgatása</t>
  </si>
  <si>
    <t>044310</t>
  </si>
  <si>
    <t>Települési hulladék vegyes (ömlesztett) begyűjtése, szállítása, átrakása
begyűjtése, szállítása, átrakása</t>
  </si>
  <si>
    <t>072111</t>
  </si>
  <si>
    <t>Háziorvosi alapellátás</t>
  </si>
  <si>
    <t>Gyógyító-megelőző ellátások finanszírozása</t>
  </si>
  <si>
    <t>072112</t>
  </si>
  <si>
    <t>Háziorvosi ügyeleti ellátás</t>
  </si>
  <si>
    <t>Fogorvosi alapellátás</t>
  </si>
  <si>
    <t>Család és nővédelmi egészségügyi gondozás</t>
  </si>
  <si>
    <t>072311</t>
  </si>
  <si>
    <t>074031</t>
  </si>
  <si>
    <t>Család- és nővédelmi egészségügyi gondozás</t>
  </si>
  <si>
    <t>074032</t>
  </si>
  <si>
    <t>Ifjúság-egészségügyi gondozás</t>
  </si>
  <si>
    <t>081043</t>
  </si>
  <si>
    <t>Iskolai, diáksport-tevékenység és támogatása</t>
  </si>
  <si>
    <t>Szabadidős park, fürdő és strandszolgáltatás</t>
  </si>
  <si>
    <t>104042</t>
  </si>
  <si>
    <t>Család- és gyermekjóléti szolgáltatások</t>
  </si>
  <si>
    <t>Gyermekjóléti szolgáltatás</t>
  </si>
  <si>
    <t>Családsegítés</t>
  </si>
  <si>
    <t>Család és gyermekjóléti központ</t>
  </si>
  <si>
    <t>104043</t>
  </si>
  <si>
    <t>Intézményen kívüli gyermekétkeztetés</t>
  </si>
  <si>
    <t>104037</t>
  </si>
  <si>
    <t>Települési támogatás (gyógyszerkiadási támogatás)</t>
  </si>
  <si>
    <t>Települési támogatás (lakásfenntartási támogatás)</t>
  </si>
  <si>
    <t>Települési támogatás (temetési segély)</t>
  </si>
  <si>
    <t>Települési támogatás (egyéb rendkívüli támogatás)</t>
  </si>
  <si>
    <t>086030</t>
  </si>
  <si>
    <t>Nemzetközi kulturális együttműködés</t>
  </si>
  <si>
    <t>104060</t>
  </si>
  <si>
    <t>Hátrányos helyzetű kistérségek speciális komplex felzárkóztató programjai (TÁMOP Komplex)</t>
  </si>
  <si>
    <t>A gyermekek, fiatalok és családok életminőségét javító programok</t>
  </si>
  <si>
    <t>Építményüzemeltetés (intézmények)</t>
  </si>
  <si>
    <t>Kieg</t>
  </si>
  <si>
    <t>kieg</t>
  </si>
  <si>
    <t>Pmaradvány</t>
  </si>
  <si>
    <t>Veszélyes fák kivágása</t>
  </si>
  <si>
    <t>Gesztenyefák permetezése</t>
  </si>
  <si>
    <t>dologi</t>
  </si>
  <si>
    <t>út</t>
  </si>
  <si>
    <t>közv</t>
  </si>
  <si>
    <t>víz</t>
  </si>
  <si>
    <t>tem</t>
  </si>
  <si>
    <t>zöld</t>
  </si>
  <si>
    <t>á eü</t>
  </si>
  <si>
    <t>közf</t>
  </si>
  <si>
    <t>ig</t>
  </si>
  <si>
    <t>sportlét</t>
  </si>
  <si>
    <t>Az önkormányzati vagyonnal való gazdálkodással kapcsolatos feladatok</t>
  </si>
  <si>
    <t>106010</t>
  </si>
  <si>
    <t>Lakóingatlan bérbeadása, üzemeltetése (nem szociális célú)</t>
  </si>
  <si>
    <t>Lakóingatlan szociális célú bérbeadása, üzemeltetése</t>
  </si>
  <si>
    <t>nl ing üz</t>
  </si>
  <si>
    <t>ÁFA fizetendő!</t>
  </si>
  <si>
    <t>BER</t>
  </si>
  <si>
    <t>FEL</t>
  </si>
  <si>
    <t>Dél-Hevesi Kistérségi Társulás</t>
  </si>
  <si>
    <t>Heves Média Kft.</t>
  </si>
  <si>
    <t>Adósságrendezés során be nem jelentett hitelezői igények</t>
  </si>
  <si>
    <t>2011-2012.</t>
  </si>
  <si>
    <t>Fin</t>
  </si>
  <si>
    <t>ber</t>
  </si>
  <si>
    <t>2.7.</t>
  </si>
  <si>
    <t>HEVES VÁROS GYERMEKJÓLÉTI KÖZPONTJA ÉS CSALÁDSEGÍTŐ SZOLGÁLATA</t>
  </si>
  <si>
    <t>1.6. melléklet</t>
  </si>
  <si>
    <t>031030</t>
  </si>
  <si>
    <t>Közterület rendjének fenntartása</t>
  </si>
  <si>
    <t>Kormányzati és önkormányzati intézmények ellátó, kisegítő szolgálatai</t>
  </si>
  <si>
    <t>091110</t>
  </si>
  <si>
    <t>Óvodai nevelés, ellátás szakmai feladatai</t>
  </si>
  <si>
    <t>Óvodai nevelés</t>
  </si>
  <si>
    <t>096015</t>
  </si>
  <si>
    <t>Gyermekétkeztetés köznevelési intézményben</t>
  </si>
  <si>
    <t>104031</t>
  </si>
  <si>
    <t>104035</t>
  </si>
  <si>
    <t>Gyermekétkeztetés bölcsődében, fogyatékosok nappali intézményében</t>
  </si>
  <si>
    <t>Gyermekétkeztetés bölcsődésben és fogyatékosok nappali intézményében</t>
  </si>
  <si>
    <t>Óvodai intézményi étkeztetés</t>
  </si>
  <si>
    <t>Iskolai intézményi étkeztetés</t>
  </si>
  <si>
    <t>082042</t>
  </si>
  <si>
    <t>Könyvtári állomány gyarapítása, nyilvántartása</t>
  </si>
  <si>
    <t>Könyvtári szolgáltatások</t>
  </si>
  <si>
    <t>082044</t>
  </si>
  <si>
    <t>Múzeumi gyűjteményi tevékenység</t>
  </si>
  <si>
    <t>082061</t>
  </si>
  <si>
    <t>082091</t>
  </si>
  <si>
    <t>Közművelődés - közösségi és társadalmi részvétel fejlesztése</t>
  </si>
  <si>
    <t>Múzeumi állandó kiállítási tevékenység</t>
  </si>
  <si>
    <t>Közművelődési intézmények, közösségi színterek működtetése</t>
  </si>
  <si>
    <t>Intézményen kívüli gyermekétkeztetés (RGYK)</t>
  </si>
  <si>
    <t>Heves Város Gyermekjóléti Központja és Családsegítő Szolgálata kötelező feladatok</t>
  </si>
  <si>
    <t>Heves Város Gyermekjóléti Központja és Családsegítő Szolgálata önként vállalt feladatok</t>
  </si>
  <si>
    <t>Heves Város Gyermekjóléti Központja és Családsegítő Szolgálata állami (államigazgatási) feladatok</t>
  </si>
  <si>
    <t>Heves Város Gyermekjóléti Központja és Családsegítő Szolgálata összesen</t>
  </si>
  <si>
    <r>
      <rPr>
        <vertAlign val="superscript"/>
        <sz val="9"/>
        <rFont val="Times New Roman CE"/>
        <charset val="238"/>
      </rPr>
      <t>3</t>
    </r>
    <r>
      <rPr>
        <sz val="9"/>
        <rFont val="Times New Roman CE"/>
        <charset val="238"/>
      </rPr>
      <t xml:space="preserve"> Az adósságot keletkeztető ügyletekből eredő fizetési kötelezettségek, amelyekbe nem számítható be a naptári éven belül lejáró futamidejű adósságot keletkeztető ügylet, az európai uniós vagy nemzetközi szervezettől az önkormányzat által elnyert támogatás előfinanszírozásának biztosítására szolgáló adósságot keletkeztető ügyletből, a víziközmű-társulattól annak megszűnése miatt átvett hitelből és az adósságrendezési eljárás során a hitelezői egyezség megkötéséhez igénybe vett reorganizációs hitelből származó fizetési kötelezettségek összege, de beleszámítandó a kezesség-, illetve garanciavállalásból eredő, jogosult által érvényesített fizetési kötelezettség összege.</t>
    </r>
  </si>
  <si>
    <t>Telekadó</t>
  </si>
  <si>
    <t>2027.</t>
  </si>
  <si>
    <t>TOP-3.1.1-15-HE1-2016-00006</t>
  </si>
  <si>
    <t>Kerékpárút fejlesztése Heves városában</t>
  </si>
  <si>
    <t>Kerékpáros fejlesztés Boconád, Heves és Tarnaméra községekben</t>
  </si>
  <si>
    <t>TOP-3.1.1-15-HE1-2016-00007</t>
  </si>
  <si>
    <t>(TÁMOGATÁSI INTENZÍTÁS 100%; MEGVALÓSÍTÁS FOLYAMATBAN)</t>
  </si>
  <si>
    <t>TOP-3.1.1-15-HE1-2016-00006 Kerékpárút fejlesztése Heves városában</t>
  </si>
  <si>
    <t>TOP-3.1.1-15-HE1-2016-00007 Kerékpáros fejlesztés Boconád, Heves és Tarnaméra községekben</t>
  </si>
  <si>
    <t>Önkormányzati hivatal működésének támogatása - elismert hivatali létszám alapján</t>
  </si>
  <si>
    <t>da)</t>
  </si>
  <si>
    <t>db)</t>
  </si>
  <si>
    <t>Szociális segítés</t>
  </si>
  <si>
    <t>Személyi gondozás</t>
  </si>
  <si>
    <t>Családi bölcsőde</t>
  </si>
  <si>
    <t>Támogató szolgáltatás</t>
  </si>
  <si>
    <t>m)</t>
  </si>
  <si>
    <t>Közösségi alapellátások</t>
  </si>
  <si>
    <t>A rászoruló gyermekek szünidei étkeztetésének támogatása</t>
  </si>
  <si>
    <t xml:space="preserve">Megyeszékhely megyei jogú városok és Szentendre Város Önkormányzata közművelődési feladatainak támogatása </t>
  </si>
  <si>
    <t>Települési önkormányzatok nyilvános könyvtári és a közművelődési feladatainak támogatása</t>
  </si>
  <si>
    <t xml:space="preserve">Budapest Főváros Önkormányzata múzeumi, könyvtári és közművelődési feladatainak támogatása </t>
  </si>
  <si>
    <t>Fővárosi kerületi önkormányzatok közművelődési feladatainak támogatása</t>
  </si>
  <si>
    <t>A kéményseprő-ipari közszolgáltatás helyi önkormányzat általi ellátásának támogatása</t>
  </si>
  <si>
    <t>Pécs Megyei Jogú Város Önkormányzat kulturális feladatainak támogatása</t>
  </si>
  <si>
    <t>A nem közművel összegyűjtött háztartási szennyvíz ideiglenes begyűjtésére kijelölt közérdekű közszolgáltató meg nem térülő költségeinek támogatása</t>
  </si>
  <si>
    <t>A települési önkormányzatok szociális célú tüzelőanyag vásárlásához kapcsolódó támogatása</t>
  </si>
  <si>
    <t>Ingatlanvásárlás Heves Városért Közalapítványtól</t>
  </si>
  <si>
    <t>2028.</t>
  </si>
  <si>
    <t>2029.</t>
  </si>
  <si>
    <t>2030.</t>
  </si>
  <si>
    <t>2031.</t>
  </si>
  <si>
    <t>2032.</t>
  </si>
  <si>
    <t>2033.</t>
  </si>
  <si>
    <t>2034.</t>
  </si>
  <si>
    <t>2035.</t>
  </si>
  <si>
    <t>2036.</t>
  </si>
  <si>
    <t>2037.</t>
  </si>
  <si>
    <t>P</t>
  </si>
  <si>
    <t>Q</t>
  </si>
  <si>
    <t>R</t>
  </si>
  <si>
    <t>Bölcsödei ellátás</t>
  </si>
  <si>
    <t>Könyvtári szolgáltatások és közművelődési feladatok</t>
  </si>
  <si>
    <t>IX.</t>
  </si>
  <si>
    <t xml:space="preserve"> Működési célú átvett pénzeszközök / működési finanszírozási bevételek</t>
  </si>
  <si>
    <t>Felhalmozási célú átvett pénzeszközök / felhalmozási finanszírozási bevételek</t>
  </si>
  <si>
    <t>Egyéb működési célú kiadások / működési finanszírozási kiadások</t>
  </si>
  <si>
    <t>Egyéb felhalmozási célú kiadások / felhalmozási finanszírozási kiadások</t>
  </si>
  <si>
    <t>Intézményi gyermekétkeztetés</t>
  </si>
  <si>
    <t>Gyermekjóléti szolgáltatás, családsegítés</t>
  </si>
  <si>
    <t>Szoc. Pótl.</t>
  </si>
  <si>
    <t>Bérkomp.</t>
  </si>
  <si>
    <t>Hiv műk Tenk</t>
  </si>
  <si>
    <t>Felnőtt (saját dolgozó, vendég)</t>
  </si>
  <si>
    <t>Könyvtám</t>
  </si>
  <si>
    <t>Bérek (közf., zöldter. Stb.)</t>
  </si>
  <si>
    <t>Ingatlanvásárlás városfejlesztési feladatokhoz</t>
  </si>
  <si>
    <t>Rendezési terv felülvizsgálata</t>
  </si>
  <si>
    <t>Eszközbeszerzések (éjjelltátó, hőkamera, földmérő készülék)</t>
  </si>
  <si>
    <t>Kisértékű eszközbeszerzések</t>
  </si>
  <si>
    <t>Büntetésvégrehajtási intézet beruházásához vállalt fejlesztési kötelezettségek</t>
  </si>
  <si>
    <t>Heves Megyei Diák- és Szabadidősport Egyesület</t>
  </si>
  <si>
    <t>Az elmúlt évek szervezeti átalakításai miatt a parkfenntartási feladatokat közvetlenül a Városgondnokság végzi . A felmerülő feladatok jelentős részét közfoglalkoztatottak bevonásával látjuk el.</t>
  </si>
  <si>
    <t>2.8.</t>
  </si>
  <si>
    <t>Rákóczi Szövetség</t>
  </si>
  <si>
    <t xml:space="preserve"> „Beiratkozási Program”</t>
  </si>
  <si>
    <t>Heves Városért Közalapítvány *</t>
  </si>
  <si>
    <t>* ingatlanvásárlás részletfizetése kamataként</t>
  </si>
  <si>
    <t>Gyermekek bölcsődében és mini bölcsődében történő ellátása</t>
  </si>
  <si>
    <t>Város-, községgazdálkodási m.n.s. szolgáltatások  (KEHOP-2.2.1)</t>
  </si>
  <si>
    <t>Város-, községgazdálkodási m.n.s. szolgáltatások (KEHOP-2.2.1-15-2015-00024 Solt szennyvíztisztitó telep korszerűsítése, tisztított szennyvíz Duna sodorvonali bevezetésével)</t>
  </si>
  <si>
    <t>Polgármesteri illetmény támogatása</t>
  </si>
  <si>
    <t>Kiegészítő támogatás az óvodapedagógusok és a pedagógus szakképzettséggel rendelkező segítők minősítéséből adódó többletkiadásokhoz</t>
  </si>
  <si>
    <t>Óvodai és iskolai szociális segítő tevékenység támogatása</t>
  </si>
  <si>
    <t>n)</t>
  </si>
  <si>
    <t>Bölcsőde, mini bölcsőde támogatása</t>
  </si>
  <si>
    <t>Bölcsődei üzemeltetési támogatás</t>
  </si>
  <si>
    <t>Megyei hatókörű városi könyvtár kistelepülési könyvtári célú kiegészítő támogatása</t>
  </si>
  <si>
    <t>Kulturális illetménypótlék</t>
  </si>
  <si>
    <r>
      <t>A HELYI ÖNKORMÁNYZATOK KIEGÉSZÍTŐ TÁMOGATÁSAI</t>
    </r>
    <r>
      <rPr>
        <b/>
        <i/>
        <sz val="9"/>
        <rFont val="Times New Roman CE"/>
        <charset val="238"/>
      </rPr>
      <t xml:space="preserve"> [I.+II.+III.]</t>
    </r>
  </si>
  <si>
    <t>5. EU-s projekt azonosítója, neve:</t>
  </si>
  <si>
    <t>6. EU-s projekt azonosítója, neve:</t>
  </si>
  <si>
    <t xml:space="preserve"> TOP-1.2.1-15-HE1-2016-00005</t>
  </si>
  <si>
    <t xml:space="preserve">a Halász-kúria turisztikai fejlesztése Heves Városban </t>
  </si>
  <si>
    <t>7. EU-s projekt azonosítója, neve:</t>
  </si>
  <si>
    <t xml:space="preserve"> TOP-1.4.1-15-HE1-2016-00018</t>
  </si>
  <si>
    <t>8. EU-s projekt azonosítója, neve:</t>
  </si>
  <si>
    <t xml:space="preserve"> TOP-2.1.2-15-HE1-2016-00004</t>
  </si>
  <si>
    <t>Heves Városi Óvodák és Bölcsőde Köznevelési Intézmény Arany János úti Óvoda és Bölcsőde infrastrukturális fejlesztése</t>
  </si>
  <si>
    <t>Heves Város Zöld szíve</t>
  </si>
  <si>
    <t>9. EU-s projekt azonosítója, neve:</t>
  </si>
  <si>
    <t xml:space="preserve"> TOP-3.2.1-15-HE1-2016-00011</t>
  </si>
  <si>
    <t>10. EU-s projekt azonosítója, neve:</t>
  </si>
  <si>
    <t>TOP-5.2.1-15-HE1-2016-00004</t>
  </si>
  <si>
    <t>Heves város Újtelep alapellátás rendelőinek energetikai fejlesztése</t>
  </si>
  <si>
    <t>11. EU-s projekt azonosítója, neve:</t>
  </si>
  <si>
    <t>TOP-5.1.2-15-HE1-2016-00001</t>
  </si>
  <si>
    <t>12. EU-s projekt azonosítója, neve:</t>
  </si>
  <si>
    <t>TOP-3.2.2-15-HE1-2016-00003</t>
  </si>
  <si>
    <t>Foglalkoztatási együttműködések kialakítása a dél-hevesi térségben</t>
  </si>
  <si>
    <t>Heves Város középületeinek energetikai megújuló energiaforrások kiaknázásával</t>
  </si>
  <si>
    <t>13. EU-s projekt azonosítója, neve:</t>
  </si>
  <si>
    <t>TOP-4.2.1-15-HE1-2016-00014</t>
  </si>
  <si>
    <t>14. EU-s projekt azonosítója, neve:</t>
  </si>
  <si>
    <t>KEHOP-2.2.1-15-2015-00024</t>
  </si>
  <si>
    <t>Dél-Hevesi Kistérség Gyermekjóléti Központja és Családsegítő Szolgálatának fejlesztése</t>
  </si>
  <si>
    <t>Solt szennyvíztisztitó telep korszerűsítése, tisztított szennyvíz Duna sodorvonali bevezetésével</t>
  </si>
  <si>
    <t>(TÁMOGATÁSI INTENZÍTÁS 86,996106%; MEGVALÓSÍTÁS FOLYAMATBAN)</t>
  </si>
  <si>
    <t>TOP-1.4.1-15-HE1-2016-00018 Heves Városi Óvodák és Bölcsőde Köznevelési Intézmény Arany János úti Óvoda és Bölcsőde infrastrukturális fejlesztése</t>
  </si>
  <si>
    <t>TOP-2.1.2-15-HE1-2016-00004 Heves Város Zöld szíve</t>
  </si>
  <si>
    <t>TOP-3.2.2-15-HE1-2016-00003 Heves Város középületeinek energetikai megújuló energiaforrások kiaknázásával</t>
  </si>
  <si>
    <t>TOP-4.2.1-15-HE1-2016-00014 Dél-Hevesi Kistérség Gyermekjóléti Központja és Családsegítő Szolgálatának fejlesztése</t>
  </si>
  <si>
    <t>KEHOP-2.2.1-15-2015-00024 Solt szennyvíztisztitó telep korszerűsítése, tisztított szennyvíz Duna sodorvonali bevezetésével</t>
  </si>
  <si>
    <t>TOP-3.2.1-15-HE1-2016-00011 Heves város Újtelep alapellátás rendelőinek energetikai fejlesztése</t>
  </si>
  <si>
    <t>Önkormányzati jogalkotás (polgármester)</t>
  </si>
  <si>
    <t>Hevesi Fúvószenekar</t>
  </si>
  <si>
    <t>TOP-1.2.1-15-HE1-2016-00005 a Halász-kúria turisztikai fejlesztése Heves Városban</t>
  </si>
  <si>
    <t>TOP-5.2.1-15-HE1-2016-00004 Komplex társadalmi együttműködési program Heves városában</t>
  </si>
  <si>
    <t>TOP-5.1.2-15-HE1-2016-00001 Foglalkoztatási együttműködések kialakítása a dél-hevesi térségben</t>
  </si>
  <si>
    <t>Mcélú ÁHB/ÁHK</t>
  </si>
  <si>
    <t>Cafetéria</t>
  </si>
  <si>
    <t>ADÓSSÁGOT KELETKEZTETŐ ÜGYLETEK 2018. ÉVI VÁRHATÓ EGYÜTTES ÖSSZEGE</t>
  </si>
  <si>
    <t>999000</t>
  </si>
  <si>
    <t>960302</t>
  </si>
  <si>
    <t>680001</t>
  </si>
  <si>
    <t>682002</t>
  </si>
  <si>
    <t>811000</t>
  </si>
  <si>
    <t>750000</t>
  </si>
  <si>
    <t>862211</t>
  </si>
  <si>
    <t>813000</t>
  </si>
  <si>
    <t>862301</t>
  </si>
  <si>
    <t>931102</t>
  </si>
  <si>
    <t>562918</t>
  </si>
  <si>
    <t>680003</t>
  </si>
  <si>
    <t>932911</t>
  </si>
  <si>
    <t>562917</t>
  </si>
  <si>
    <t>562912</t>
  </si>
  <si>
    <t>562913</t>
  </si>
  <si>
    <t>889101</t>
  </si>
  <si>
    <t>889103</t>
  </si>
  <si>
    <t>910210</t>
  </si>
  <si>
    <t>910502</t>
  </si>
  <si>
    <t>889201</t>
  </si>
  <si>
    <t>889924</t>
  </si>
  <si>
    <t>493102</t>
  </si>
  <si>
    <t>A gyermekek, fiatalok és családok életminőségét javító programok (EFOP-1.2.9-17 Nők a családban és a munkahelyen)</t>
  </si>
  <si>
    <t>Városi és elővárosi közúti személyszállítás (TOP-3.1.1-15-HE1-2016-00006 Kerékpárút fejlesztése Heves városában)</t>
  </si>
  <si>
    <t>Városi és elővárosi közúti személyszállítás (TOP-3.1.1-15-HE1-2016-00007 Kerékpáros fejlesztés Boconád, Heves és Tarnaméra községekben)</t>
  </si>
  <si>
    <t>Városi és elővárosi közúti személyszállítás (TOP-3.1.1-16-HE1-2017-00003 Kerékpáros fejlesztés Heves és Hevesvezekény településeken)</t>
  </si>
  <si>
    <t>Turizmusfejlesztési támogatások és tevékenységek (TOP 1.2.1.)</t>
  </si>
  <si>
    <t>Turizmusfejlesztési támogatások és tevékenységek (TOP-1.2.1-15-HE1-2016-00005 a Halász-kúria turisztikai fejlesztése Heves Városban)</t>
  </si>
  <si>
    <t>047320</t>
  </si>
  <si>
    <t>A gyermekek, fiatalok és családok életminőségét javító programok (EFOP 1.2.9)</t>
  </si>
  <si>
    <t>Óvodai nevelés (TOP-1.4.1-15-HE1-2016-00018 Heves Városi Óvodák és Bölcsőde Köznevelési Intézmény Arany János úti Óvoda és Bölcsőde infrastrukturális fejlesztése)</t>
  </si>
  <si>
    <t>Óvodai nevelés, ellátás szakmai feladatai (TOP 1.4.1.)</t>
  </si>
  <si>
    <t>Városi és elővárosi közúti személyszállítás (TOP 3.1.1.)</t>
  </si>
  <si>
    <t>062020</t>
  </si>
  <si>
    <t>Településfejlesztési projektek és támogatásuk (TOP 2.1.2.)</t>
  </si>
  <si>
    <t>Településfejlesztési projektek és támogatásuk ( TOP-2.1.2-15-HE1-2016-00004 Heves Város Zöld szíve)</t>
  </si>
  <si>
    <t>Nem lakóingatlan bérbeadása, üzemeltetése (TOP-3.2.1-15-HE1-2016-00011 Heves város Újtelep alapellátás rendelőinek energetikai fejlesztése)</t>
  </si>
  <si>
    <t>Az önkormányzati vagyonnal való gazdálkodással kapcsolatos feladatok (TOP 3.2.1.)</t>
  </si>
  <si>
    <t>105020</t>
  </si>
  <si>
    <t>Foglalkoztatást elősegítő képzések és egyéb támogatások ( TOP-5.1.2-15-HE1-2016-00001 Foglalkoztatási együttműködések kialakítása a dél-hevesi térségben)</t>
  </si>
  <si>
    <t>Foglalkoztatást elősegítő képzések és egyéb támogatások  (TOP 5.1.2.)</t>
  </si>
  <si>
    <t>Nem lakóingatlan bérbeadása, üzemeltetése (TOP-3.2.2-15-HE1-2016-00003 Heves Város középületeinek energetikai megújuló energiaforrások kiaknázásával)</t>
  </si>
  <si>
    <t>Az önkormányzati vagyonnal való gazdálkodással kapcsolatos feladatok (TOP 3.2.2.)</t>
  </si>
  <si>
    <t>Család- és gyermekjóléti szolgáltatások  (TOP 4.2.1.)</t>
  </si>
  <si>
    <t>Gyermekjóléti szolgáltatás (TOP-4.2.1-15-HE1-2016-00014 Dél-Hevesi Kistérség Gyermekjóléti Központja és Családsegítő Szolgálatának fejlesztése)</t>
  </si>
  <si>
    <t>Településfejlesztési projektek és támogatásuk (TOP-5.2.1-15-HE1-2016-00004 Komplex társadalmi együttműködési program Heves városában)</t>
  </si>
  <si>
    <t>Településfejlesztési projektek és támogatásuk (TOP 5.2.1.)</t>
  </si>
  <si>
    <t>Heves Város Gyermekjóléti Központja és Családsegítő Szolgálata beruházásai</t>
  </si>
  <si>
    <t>Heves Város Gyermekjóléti Központja és Családsegítő Szolgálata beruházásai összesen:</t>
  </si>
  <si>
    <t>Heves Város Gyermekjóléti Központja és Családsegítő Szolgálata  felújításai</t>
  </si>
  <si>
    <t>Heves Város Gyermekjóléti Központja és Családsegítő Szolgálata  felújításai összesen:</t>
  </si>
  <si>
    <t>Heves Városi Mezei Őrszolgálat felújításai összesen:</t>
  </si>
  <si>
    <t>Heves Város Gyermekjóléti Központja és Családsegítő Szolgálata egyéb felhalmozási célú kiadásai</t>
  </si>
  <si>
    <t>Heves Város Gyermekjóléti Központja és Családsegítő Szolgálata egyéb felhalmozási célú kiadásai összesen:</t>
  </si>
  <si>
    <t>Az önkormányzati vagyonnal való gazdálkodással kapcsolatos feladatok (TOP 1.1.1.)</t>
  </si>
  <si>
    <t>Nem lakóingatlan bérbeadása, üzemeltetése (TOP-1.1.1-16HE1-2017-00002 Iparterület kialakítása Heves Városban)</t>
  </si>
  <si>
    <t>Turizmusfejlesztési támogatások és tevékenységek (TOP-1.2.1-16-HE1-2017-00010 Az első magyar sakkmúzeum fejlesztése Hevesen)</t>
  </si>
  <si>
    <t>Településfejlesztési projektek és támogatásuk ( TOP-4.3.1-15HE1-2016-00014 Leromlott területek rehabilitációja Heves városban)</t>
  </si>
  <si>
    <t>Településfejlesztési projektek és támogatásuk (TOP 4.3.1.)</t>
  </si>
  <si>
    <t>076010</t>
  </si>
  <si>
    <t>Egészségügy igazgatása (EFOP 1.8.2.)</t>
  </si>
  <si>
    <t>Egészségügy igazgatása (EFOP -1.8.2-17-2017-00006 Praxisközösség létrehozása a Hevesi járásban)</t>
  </si>
  <si>
    <t>107080</t>
  </si>
  <si>
    <t>Esélyegyenlőség elősegítését célzó tevékenységek és programok (EFOP 1.5.3.)</t>
  </si>
  <si>
    <t>095020</t>
  </si>
  <si>
    <t>Iskolarendszeren kívüli egyéb oktatás, képzés (EFOP 3.9.2.)</t>
  </si>
  <si>
    <t>855900</t>
  </si>
  <si>
    <t>Iskolarendszeren kívüli egyéb oktatás, képzés (EFOP -3.9.2-16-2017-00024 Humán szolgáltatások fejlesztése a Hevesi járásban)</t>
  </si>
  <si>
    <t>Esélyegyenlőség elősegítését célzó tevékenységek és programok (EFOP -1.5.3-16-2017-00108 Humán kapacitások fejlesztése a Hevesi járásban)</t>
  </si>
  <si>
    <t>A gyermekek, fiatalok és családok életminőségét javító programok (EFOP 1.4.2.)</t>
  </si>
  <si>
    <t>Hátrányos helyzetű kistérségek speciális komplex felzárkóztató programjai (EFOP-1.4.2-16-2016-00030)</t>
  </si>
  <si>
    <t>Turizmusfejlesztési támogatások és tevékenységek (TOP-1.2.1-16-HE1-2017-00009 Ökoturisztikai fejlesztés Heves Városban)</t>
  </si>
  <si>
    <t>047120</t>
  </si>
  <si>
    <t>Piac üzemeltetése (TOP-1.1.3-16-HE1-2017-00007 A helyi gazdaság fejlesztése Heves városban)</t>
  </si>
  <si>
    <t>Piac üzemeltetése (TOP 1.1.3.)</t>
  </si>
  <si>
    <t>Településfejlesztési projektek és támogatásuk (TOP-2.1.2-16-HE1-2017-00001 A hevesi Vicán-tó és környezetének fejlesztése)</t>
  </si>
  <si>
    <t>Esélyegyenlőség elősegítését célzó tevékenységek és programok (EFOP 2.1.2.)</t>
  </si>
  <si>
    <t>Esélyegyenlőség elősegítését célzó tevékenységek és programok (EFOP-2.1.2-16-2017-00015 Gyerekesély programok infrastrukturális háttere a Hevesi járásban)</t>
  </si>
  <si>
    <t>Az óvodában foglalkoztatott pedagógusok és az e pedagógusok nevelőmunkáját közvetlenül segítők bértámogatása</t>
  </si>
  <si>
    <r>
      <t>A TELEPÜLÉSI ÖNKORMÁNYZATOK EGYES KÖZNEVELÉSI FELADATAINAK TÁMOGATÁSA</t>
    </r>
    <r>
      <rPr>
        <b/>
        <i/>
        <sz val="9"/>
        <rFont val="Times New Roman CE"/>
        <charset val="238"/>
      </rPr>
      <t xml:space="preserve"> [1.+…+5.]</t>
    </r>
  </si>
  <si>
    <t>Nemzetiségi pótlék</t>
  </si>
  <si>
    <t>Szociális ágazati összevont pótlék és egészségügyi kiegészítő pótlék</t>
  </si>
  <si>
    <t>Intézményi gyermekétkeztetés támogatása</t>
  </si>
  <si>
    <t>aa)</t>
  </si>
  <si>
    <t>ab)</t>
  </si>
  <si>
    <t>Gyermekétkeztetés támogatása</t>
  </si>
  <si>
    <t>Bölcsődei, mini bölcsődei férőhelyek kialakításának támogatása</t>
  </si>
  <si>
    <t>fel nem használt szockieg (ha -)</t>
  </si>
  <si>
    <t xml:space="preserve">Az útkarbantartási feladatokat (kátyúzás, burkolati jelek felfestése, járdafelújítás, KRESZ táblák cseréje) a Heva Kft, és külső cégekkek tervezzük megvalósítani. </t>
  </si>
  <si>
    <r>
      <rPr>
        <b/>
        <u/>
        <sz val="9"/>
        <rFont val="Times New Roman"/>
        <family val="1"/>
        <charset val="238"/>
      </rPr>
      <t>Külterületi utak karbantartása:</t>
    </r>
    <r>
      <rPr>
        <b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A külterületi útak karbantartása  az önkormányzat kötelező feladata.</t>
    </r>
  </si>
  <si>
    <r>
      <rPr>
        <b/>
        <u/>
        <sz val="9"/>
        <rFont val="Times New Roman"/>
        <family val="1"/>
        <charset val="238"/>
      </rPr>
      <t>Síkosság mentesítés</t>
    </r>
    <r>
      <rPr>
        <sz val="9"/>
        <rFont val="Times New Roman"/>
        <family val="1"/>
        <charset val="238"/>
      </rPr>
      <t>: Költsége időjárás függő. Költségeit az elmúlt évek viszonyait figyelembe véve prognosztizálható</t>
    </r>
  </si>
  <si>
    <t>A Városgondnoksági Iroda az illetékessége</t>
  </si>
  <si>
    <t>Az elmúlt évben képviselői keretek felhasználása révén növekedett a közvilágítási lámpatestek száma .</t>
  </si>
  <si>
    <t>Új zöldterületi részek virágosítása,parkosítása</t>
  </si>
  <si>
    <t>Konténer szállítás</t>
  </si>
  <si>
    <t>Zöldterületek kaszálása</t>
  </si>
  <si>
    <t>Hírdetmények, kifüggesztések</t>
  </si>
  <si>
    <t>Ingatlan eladás</t>
  </si>
  <si>
    <t>Temetők működtetésével kapcsolatos bevételek</t>
  </si>
  <si>
    <t>Polgármesteri Hivatal épületének belső felújításának befejezése</t>
  </si>
  <si>
    <t>mösz</t>
  </si>
  <si>
    <r>
      <rPr>
        <b/>
        <u/>
        <sz val="9"/>
        <rFont val="Times New Roman"/>
        <family val="1"/>
        <charset val="238"/>
      </rPr>
      <t>Útburkolati jelek felfestése:</t>
    </r>
    <r>
      <rPr>
        <b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Az utóbbi években az útburkolati jelk felfestése nem történt meg, ezért szinte észrevétlenné váltak. A közmunka program forrásainak csökkenése miatt csak külső vállalkozó bevonásával tudjuk megvalósítani.</t>
    </r>
  </si>
  <si>
    <r>
      <rPr>
        <b/>
        <u/>
        <sz val="9"/>
        <rFont val="Times New Roman"/>
        <family val="1"/>
        <charset val="238"/>
      </rPr>
      <t>KRESZ táblák pótlása:</t>
    </r>
    <r>
      <rPr>
        <sz val="9"/>
        <rFont val="Times New Roman"/>
        <family val="1"/>
        <charset val="238"/>
      </rPr>
      <t xml:space="preserve"> Forrás hiány miatt , csak a hiányzó és megrongált táblák pótlására tervezünk forrást, </t>
    </r>
  </si>
  <si>
    <t>ÁFA levonható!???</t>
  </si>
  <si>
    <t>Közkifolyók</t>
  </si>
  <si>
    <t>Temető fenntartás</t>
  </si>
  <si>
    <t>Parkfenntartás és köztisztaság</t>
  </si>
  <si>
    <t>Állategészségügyi feladatok</t>
  </si>
  <si>
    <r>
      <rPr>
        <b/>
        <u/>
        <sz val="9"/>
        <rFont val="Times New Roman"/>
        <family val="1"/>
        <charset val="238"/>
      </rPr>
      <t>Kóbor ebek</t>
    </r>
    <r>
      <rPr>
        <sz val="9"/>
        <rFont val="Times New Roman"/>
        <family val="1"/>
        <charset val="238"/>
      </rPr>
      <t xml:space="preserve"> összeírásával, összegyűjtésével kapcsolatos költségek.</t>
    </r>
  </si>
  <si>
    <r>
      <rPr>
        <b/>
        <u/>
        <sz val="9"/>
        <rFont val="Times New Roman"/>
        <family val="1"/>
        <charset val="238"/>
      </rPr>
      <t>Előre nem látható költségek:</t>
    </r>
    <r>
      <rPr>
        <b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A gyakran megjelenő és az előre nem tervezhető ( általában vis maior hellegű ) feladatok  kerete , amelyet az elmúlt évek tapasztalati alpján tervezünk   Itt jelennek meg a tervezett beruházásokhoz kapcsolódó  pótlólagos költségei.</t>
    </r>
  </si>
  <si>
    <r>
      <rPr>
        <b/>
        <u/>
        <sz val="9"/>
        <rFont val="Times New Roman"/>
        <family val="1"/>
        <charset val="238"/>
      </rPr>
      <t>Épületek bontása</t>
    </r>
    <r>
      <rPr>
        <b/>
        <sz val="9"/>
        <rFont val="Times New Roman"/>
        <family val="1"/>
        <charset val="238"/>
      </rPr>
      <t>:</t>
    </r>
    <r>
      <rPr>
        <sz val="9"/>
        <rFont val="Times New Roman"/>
        <family val="1"/>
        <charset val="238"/>
      </rPr>
      <t xml:space="preserve"> Fejlesztési céllal megvásárolt ingatlanok bontása és a már elbontott ingatlanok törmelékeinek elszállítása</t>
    </r>
  </si>
  <si>
    <t>Vagyonkezelési szerződések</t>
  </si>
  <si>
    <t>Vízmű által fizetett bérleti díj</t>
  </si>
  <si>
    <t>közt</t>
  </si>
  <si>
    <t>Ingatlan bérbeadás</t>
  </si>
  <si>
    <r>
      <t>Területalapú támogatás</t>
    </r>
    <r>
      <rPr>
        <u/>
        <sz val="9"/>
        <rFont val="Times New Roman"/>
        <family val="1"/>
        <charset val="238"/>
      </rPr>
      <t> </t>
    </r>
  </si>
  <si>
    <t>Városgazdálkodás</t>
  </si>
  <si>
    <t>2013.01.01. előtt átadott ingatlanok után járó (részben már tavalyi évben kiszámlázva)</t>
  </si>
  <si>
    <t>2013.01.01. után átadott ingatlanok után járó (részben már tavalyi évben kiszámlázva)</t>
  </si>
  <si>
    <t>HM-i Katasztrófavédelmi Igazgatóság</t>
  </si>
  <si>
    <t>Közvilágítás bővítése</t>
  </si>
  <si>
    <t>Informatikai eszközbeszerzések</t>
  </si>
  <si>
    <t>Önkormányzati hivatal belső felújítása (folytatás)</t>
  </si>
  <si>
    <t>BEVÉTELI/KIADÁSI JOGCÍMEK feladatonként</t>
  </si>
  <si>
    <t>BEVÉTELEK/KIADÁSOK ÖSSZESEN:</t>
  </si>
  <si>
    <t>MEGNEVEZÉS</t>
  </si>
  <si>
    <t>I. forduló</t>
  </si>
  <si>
    <t>módosítás</t>
  </si>
  <si>
    <t>II. forduló</t>
  </si>
  <si>
    <t>Rendkívüli önkormányzati költségvetési támogatás</t>
  </si>
  <si>
    <t>Működési feladatok önkormányzati kiegészítése</t>
  </si>
  <si>
    <t>Felhalmozási feladatok önkormányzati kiegészítése</t>
  </si>
  <si>
    <t>Ebből:</t>
  </si>
  <si>
    <t>Ingatlanértékesítés</t>
  </si>
  <si>
    <t>HVÓBKI kiadásainak felülvizsgálata</t>
  </si>
  <si>
    <t>HKK kiadásainak felülvizsgálata</t>
  </si>
  <si>
    <t>MŐSZ negatív finanszírozás rendezése</t>
  </si>
  <si>
    <t>Rendkívüli önkormányzati költségvetési támogatás változása II. fordulóra</t>
  </si>
  <si>
    <t>Heves Város Polgárőr Egyesület</t>
  </si>
  <si>
    <t>strand</t>
  </si>
  <si>
    <t>Strand beruházás</t>
  </si>
  <si>
    <t>Ingatlanvásárlás NHSZ Kft-től</t>
  </si>
  <si>
    <t>Regio-Komtól átvállalt követelés</t>
  </si>
  <si>
    <t>TOP-3.1.1-16-HE1-2017-00003</t>
  </si>
  <si>
    <t>Kerékpáros fejlesztés Heves és Hevesvezekény településeken</t>
  </si>
  <si>
    <t>EFOP-2.1.2-16-2017-00015 Gyerekesély programok infrastrukturális háttere a Hevesi járásban</t>
  </si>
  <si>
    <t>TOP-2.1.2-16-HE1-2017-00001 A hevesi Vicán-tó és környezetének fejlesztése</t>
  </si>
  <si>
    <t>TOP-1.1.3-16-HE1-2017-00007 A helyi gazdaság fejlesztése Heves városban</t>
  </si>
  <si>
    <t>TOP-1.2.1-16-HE1-2017-00009 Ökoturisztikai fejlesztés Heves Városban</t>
  </si>
  <si>
    <t>EFOP-1.4.2-16-2016-00030</t>
  </si>
  <si>
    <t>EFOP -3.9.2-16-2017-00024 Humán szolgáltatások fejlesztése a Hevesi járásban</t>
  </si>
  <si>
    <t>EFOP -1.5.3-16-2017-00108 Humán kapacitások fejlesztése a Hevesi járásban</t>
  </si>
  <si>
    <t>EFOP -1.8.2-17-2017-00006 Praxisközösség létrehozása a Hevesi járásban</t>
  </si>
  <si>
    <t>TOP-1.2.1-16-HE1-2017-00010 Az első magyar sakkmúzeum fejlesztése Hevesen</t>
  </si>
  <si>
    <t>TOP-3.1.1-16-HE1-2017-00003 Kerékpáros fejlesztés Heves és Hevesvezekény településeken</t>
  </si>
  <si>
    <t>15. EU-s projekt azonosítója, neve:</t>
  </si>
  <si>
    <t>16. EU-s projekt azonosítója, neve:</t>
  </si>
  <si>
    <t>17. EU-s projekt azonosítója, neve:</t>
  </si>
  <si>
    <t>18. EU-s projekt azonosítója, neve:</t>
  </si>
  <si>
    <t>19. EU-s projekt azonosítója, neve:</t>
  </si>
  <si>
    <t>20. EU-s projekt azonosítója, neve:</t>
  </si>
  <si>
    <t>21. EU-s projekt azonosítója, neve:</t>
  </si>
  <si>
    <t>22. EU-s projekt azonosítója, neve:</t>
  </si>
  <si>
    <t>23. EU-s projekt azonosítója, neve:</t>
  </si>
  <si>
    <t>24. EU-s projekt azonosítója, neve:</t>
  </si>
  <si>
    <t>25. EU-s projekt azonosítója, neve:</t>
  </si>
  <si>
    <t>26. EU-s projekt azonosítója, neve:</t>
  </si>
  <si>
    <t>TOP-1.2.1-16-HE1-2017-00010</t>
  </si>
  <si>
    <t xml:space="preserve"> Az első magyar sakkmúzeum fejlesztése Hevesen</t>
  </si>
  <si>
    <t>Leromlott területek rehabilitációja Heves városban</t>
  </si>
  <si>
    <t>EFOP -1.8.2-17-2017-00006</t>
  </si>
  <si>
    <t xml:space="preserve"> Praxisközösség létrehozása a Hevesi járásban</t>
  </si>
  <si>
    <t xml:space="preserve">EFOP -1.5.3-16-2017-00108 </t>
  </si>
  <si>
    <t>Humán kapacitások fejlesztése a Hevesi járásban</t>
  </si>
  <si>
    <t>EFOP -3.9.2-16-2017-00024</t>
  </si>
  <si>
    <t xml:space="preserve"> Humán szolgáltatások fejlesztése a Hevesi járásban</t>
  </si>
  <si>
    <t xml:space="preserve">TOP-1.2.1-16-HE1-2017-00009 </t>
  </si>
  <si>
    <t>Ökoturisztikai fejlesztés Heves Városban</t>
  </si>
  <si>
    <t>TOP-1.1.3-16-HE1-2017-00007</t>
  </si>
  <si>
    <t xml:space="preserve"> A helyi gazdaság fejlesztése Heves városban</t>
  </si>
  <si>
    <t>TOP-2.1.2-16-HE1-2017-00001</t>
  </si>
  <si>
    <t xml:space="preserve"> A hevesi Vicán-tó és környezetének fejlesztése</t>
  </si>
  <si>
    <t>EFOP-2.1.2-16-2017-00015</t>
  </si>
  <si>
    <t xml:space="preserve"> Gyerekesély programok infrastrukturális háttere a Hevesi járásban</t>
  </si>
  <si>
    <t>31.</t>
  </si>
  <si>
    <t>32.</t>
  </si>
  <si>
    <t>33.</t>
  </si>
  <si>
    <t>34.</t>
  </si>
  <si>
    <t>35.</t>
  </si>
  <si>
    <t>36.</t>
  </si>
  <si>
    <t xml:space="preserve"> Komplex társadalmi együttműködési program Heves városában</t>
  </si>
  <si>
    <t xml:space="preserve"> Iparterület kialakítása Heves Városban</t>
  </si>
  <si>
    <t>Integrált térségi gyermekprogramok a Heves járásban</t>
  </si>
  <si>
    <t>EFOP-1.4.2-16-2016-00030 Integrált térségi gyermekprogramok a Heves járásban</t>
  </si>
  <si>
    <t>Nők a családban és a munkahelyen</t>
  </si>
  <si>
    <t>37.</t>
  </si>
  <si>
    <t>Összesen (1.+3.+5.+7.+33.)</t>
  </si>
  <si>
    <t>Heves Város Önkormányzata 2020. évi költségvetésének mellékleteiről</t>
  </si>
  <si>
    <t xml:space="preserve">Heves Város Önkormányzata 2020. évi költségvetési rendelet tervezete </t>
  </si>
  <si>
    <t xml:space="preserve">Heves Város Önkormányzata és költségvetési szervei 2020. évi összesített költségvetési mérlege </t>
  </si>
  <si>
    <t xml:space="preserve">Heves Város Önkormányzata 2020. évi költségvetési mérlege </t>
  </si>
  <si>
    <t xml:space="preserve">Hevesi Közös Önkormányzati Hivatal 2020. évi költségvetési mérlege </t>
  </si>
  <si>
    <t xml:space="preserve">Heves Városi Óvodák és Bölcsőde Köznevelési Intézmény 2020. évi költségvetési mérlege </t>
  </si>
  <si>
    <t xml:space="preserve">Hevesi Kulturális Központ 2020. évi költségvetési mérlege </t>
  </si>
  <si>
    <t xml:space="preserve">Heves Városi Mezei Őrszolgálat 2020. évi költségvetési mérlege </t>
  </si>
  <si>
    <t xml:space="preserve">Heves Város Gyermekjóléti Központja és Családsegítő Szolgálata 2020. évi költségvetési mérlege </t>
  </si>
  <si>
    <t>Heves Város Önkormányzata és költségvetési szervei 2020. évi létszámkerete</t>
  </si>
  <si>
    <t>Az önkormányzat által adott 2020. évi közvetett támogatások</t>
  </si>
  <si>
    <t>Előirányzat-felhasználási ütemterv 2020. évre (tervezett adatok alapján)</t>
  </si>
  <si>
    <t>Heves Város Önkormányzata és költségvetési szervei 2020. évi összesített költségvetési mérlege (a tárgyévet megelőző két év teljesítési adataival kiegészítve)</t>
  </si>
  <si>
    <t>Heves Város Önkormányzata 2020. évi általános működésének és ágazati feladatainak támogatásának alakulása jogcímenként</t>
  </si>
  <si>
    <t>2020. évi felhalmozási célú kiadások</t>
  </si>
  <si>
    <t>2020. évi céljelleggel nyújtott támogatások</t>
  </si>
  <si>
    <t>Gyermekétkeztetés, munkahelyi étkeztetés, egyéb vendéglátás nyersanyagnormája és térítési díja 2020. január 1-től</t>
  </si>
  <si>
    <t>Városüzemeltetési feladatok 2020. évi részletes költségvetése</t>
  </si>
  <si>
    <t>Heves Város Önkormányzata saját bevételeinek, valamint az adósságot keletkeztető ügyletekből származó fizetési kötelezettségeinek várható alakulása  2020-2023. években</t>
  </si>
  <si>
    <t>2020. évi előirányzat</t>
  </si>
  <si>
    <t>2020. ÉVI ÖSSZESÍTETT KÖLTSÉGVETÉSI MÉRLEGE</t>
  </si>
  <si>
    <t>2020. ÉVI KÖLTSÉGVETÉSI MÉRLEGE</t>
  </si>
  <si>
    <t>2020. ÉVI MŰKÖDÉSI CÉLÚ BEVÉTELEK ÉS KIADÁSOK MÉRLEGE</t>
  </si>
  <si>
    <t>2020. ÉVI FELHALMOZÁSI CÉLÚ BEVÉTELEK ÉS KIADÁSOK MÉRLEGE</t>
  </si>
  <si>
    <t xml:space="preserve"> 2020. ÉVI ENGEDÉLYEZETT LÉTSZÁM ELŐIRÁNYZATA</t>
  </si>
  <si>
    <t>2020. évi létszám előirányzat (fő)</t>
  </si>
  <si>
    <t>2020. előtt</t>
  </si>
  <si>
    <t>2022. után</t>
  </si>
  <si>
    <t>Önkormányzaton kívüli EU-s projektekhez történő hozzájárulás 2020. évi előirányzata</t>
  </si>
  <si>
    <t>23=3+…+21</t>
  </si>
  <si>
    <t>Az önkormányzat 2020. évi adósságot keletkeztető fejlesztési céljai</t>
  </si>
  <si>
    <t>2020. előtti kifizetés</t>
  </si>
  <si>
    <t>2023. után</t>
  </si>
  <si>
    <t>2020. évi tervezett kedvezmény nélkül elérhető bevétel</t>
  </si>
  <si>
    <t>2020. évi tervezett kedvezmények összege</t>
  </si>
  <si>
    <t>2019. évi várható teljesítés</t>
  </si>
  <si>
    <t>2018. évi teljesítés</t>
  </si>
  <si>
    <t xml:space="preserve"> 2020. ÉVI LÉTSZÁMKERET</t>
  </si>
  <si>
    <t>HEVES VÁROS ÖNKORMÁNYZATA 2020. ÉVI ÖNKORMÁNYZATI TÁMOGATÁSAI</t>
  </si>
  <si>
    <t xml:space="preserve"> Település-üzemeltetéshez kapcsolódó feladatellátás alaptámogatása</t>
  </si>
  <si>
    <t>A zöldterület-gazdálkodással kapcsolatos feladatok ellátásának alaptámogatása</t>
  </si>
  <si>
    <t>Közvilágítás fenntartásának alaptámogatása</t>
  </si>
  <si>
    <t>Köztemető fenntartással kapcsolatos feladatok alaptámogatása</t>
  </si>
  <si>
    <t>Közutak fenntartásának alaptámogatása</t>
  </si>
  <si>
    <t>Beszámítás, kiegészítés</t>
  </si>
  <si>
    <t>I.1.c) - f) Egyéb önkormányzati feladatok támogatása beszámítás, kiegészítés után</t>
  </si>
  <si>
    <t>Teljesítési adatokhoz kapcsolódó korrekciós támogatás</t>
  </si>
  <si>
    <r>
      <t xml:space="preserve"> A HELYI ÖNKORMÁNYZATOK MŰKÖDÉSÉNEK ÁLTALÁNOS TÁMOGATÁSA </t>
    </r>
    <r>
      <rPr>
        <b/>
        <i/>
        <sz val="9"/>
        <rFont val="Times New Roman CE"/>
        <charset val="238"/>
      </rPr>
      <t>[1.+…+5.]</t>
    </r>
  </si>
  <si>
    <r>
      <t xml:space="preserve">A TELEPÜLÉSI ÖNKORMÁNYZATOK SZOCIÁLIS, GYERMEKJÓLÉTI ÉS GYERMEKÉTKEZTETÉSI FELADATAINAK TÁMOGATÁSA </t>
    </r>
    <r>
      <rPr>
        <b/>
        <i/>
        <sz val="9"/>
        <rFont val="Times New Roman CE"/>
        <charset val="238"/>
      </rPr>
      <t xml:space="preserve"> [1.+...+5.]</t>
    </r>
  </si>
  <si>
    <r>
      <t xml:space="preserve">A TELEPÜLÉSI ÖNKORMÁNYZATOK KULTURÁLIS FELADATAINAK TÁMOGATÁSA </t>
    </r>
    <r>
      <rPr>
        <b/>
        <i/>
        <sz val="9"/>
        <rFont val="Times New Roman CE"/>
        <charset val="238"/>
      </rPr>
      <t>[a)+…+e)]</t>
    </r>
  </si>
  <si>
    <t>SZOLIDARITÁSI HOZZÁJÁRULÁS</t>
  </si>
  <si>
    <t>A költségvetési szerveknél foglalkoztatottak 2019. évi áthúzódó és 2020. évi kompenzációja</t>
  </si>
  <si>
    <t>Megyei hatókörű városi múzeumok feladatainak támogatása</t>
  </si>
  <si>
    <t>Megyei hatókörű városi könyvtárak feladatainak támogatása</t>
  </si>
  <si>
    <r>
      <t xml:space="preserve">HELYI ÖNKORMÁNYZATOK MŰKÖDÉSI CÉLÚ KÖLTSÉGVETÉSI TÁMOGATÁSAI </t>
    </r>
    <r>
      <rPr>
        <b/>
        <i/>
        <sz val="9"/>
        <rFont val="Times New Roman CE"/>
        <charset val="238"/>
      </rPr>
      <t>[1.+14.]</t>
    </r>
  </si>
  <si>
    <t>Települési önkormányzatok kulturális feladatainak kiegészítő támogatása</t>
  </si>
  <si>
    <t>Normafa Park program támogatása</t>
  </si>
  <si>
    <t>Megyei önkormányzatok fejlesztési feladatainak támogatása</t>
  </si>
  <si>
    <t>Monor okos város projekt támogatása</t>
  </si>
  <si>
    <t>Budapest Főváros XII. kerület Hegyvidéki Önkormányzata mélygarázs építésének támogatása</t>
  </si>
  <si>
    <t>Budapest Főváros XII. kerület Hegyvidéki Önkormányzata forgalomtechnikai fejlesztési feladatainak támogatása</t>
  </si>
  <si>
    <t>Kisbér Város városközpontja megújításának támogatása</t>
  </si>
  <si>
    <t>Normafa Park projekt egyes beruházási elemeinek támogatása</t>
  </si>
  <si>
    <t>Fejlesztések támogatása Szanticskán</t>
  </si>
  <si>
    <t>Erzsébetvárosi fejlesztések támogatása</t>
  </si>
  <si>
    <t>Bölcsőde- és óvodafejlesztések támogatása Budapest Főváros VIII. kerületében</t>
  </si>
  <si>
    <t>Budapest Főváros VIII. kerületi Horváth Mihály tér fejlesztésének támogatása</t>
  </si>
  <si>
    <t>Semmelweis Egyetem II. számú Szülészeti és Nőgyógyászati Klinika előtti parkoló fejlesztésének támogatása</t>
  </si>
  <si>
    <t>Közbiztonsági fejlesztések támogatása Budapest Főváros VIII. kerületében</t>
  </si>
  <si>
    <t>Önkormányzati bérlakásfejlesztések támogatása Budapest Főváros VIII. kerületében</t>
  </si>
  <si>
    <t>Budapest Főváros IX. kerületi József Attila-Lakótelepi Közösségi Ház felújításának támogatása</t>
  </si>
  <si>
    <t>Csemő-Cegléd közötti kerékpárút kiépítése I. ütemének támogatása</t>
  </si>
  <si>
    <t>Óvodafejlesztés és ravatalozó kialakítás támogatása Dabason</t>
  </si>
  <si>
    <t>Ispánki szennyvízelvezető-tisztító rendszer működőképessége helyreállításának támogatása</t>
  </si>
  <si>
    <t>Jászapáti Tölgyes Strandfürdő fejlesztésének támogatása</t>
  </si>
  <si>
    <t>Kőszegi Dózsa György utca felújításának támogatása</t>
  </si>
  <si>
    <t>Ravatalozó kialakításának támogatása Nagybarcán</t>
  </si>
  <si>
    <t>Vadkerti-Tó Kemping felújításának támogatása Soltvadkerten</t>
  </si>
  <si>
    <t>Pihenőpark fejlesztés támogatása Tárnokon</t>
  </si>
  <si>
    <t>Tatán az Öreg-tó körüli utak és sétány felújításának támogatása</t>
  </si>
  <si>
    <t>Tiszajenői temetőhöz vezető önkormányzati útszakasz aszfaltozásának támogatása</t>
  </si>
  <si>
    <r>
      <t xml:space="preserve">HELYI ÖNKORMÁNYZATOK FELHALMOZÁSI CÉLÚ KÖLTSÉGVETÉSI TÁMOGATÁSAI </t>
    </r>
    <r>
      <rPr>
        <b/>
        <i/>
        <sz val="9"/>
        <rFont val="Times New Roman CE"/>
        <charset val="238"/>
      </rPr>
      <t>[1.+31.]</t>
    </r>
  </si>
  <si>
    <t>Felhasználás 2020. előtt</t>
  </si>
  <si>
    <t>2020. ÉVI FELHALMOZÁSI CÉLÚ KIADÁSAI</t>
  </si>
  <si>
    <t>2020. év utáni szükséglet</t>
  </si>
  <si>
    <t>2020. ÉVI CÉLJELEGGEL NYÚJTOTT TÁMOGATÁSOK, ÁTADOTT PÉNZEK</t>
  </si>
  <si>
    <t>2020. évi működési költségvetés előirányzata</t>
  </si>
  <si>
    <t>2020. évi felhalmozási költségvetés előirányzata</t>
  </si>
  <si>
    <t>Szociális juttatások (szociális bérlakás üzemeltetése is)</t>
  </si>
  <si>
    <t>......................, 2020. .......................... hó ..... nap</t>
  </si>
  <si>
    <t>2020. évi költségvetés</t>
  </si>
  <si>
    <t>Hivatali Konyha (saját dolgozó, vendég) *</t>
  </si>
  <si>
    <t>* 2020.02.01-től a térítési díj 900 Ft/adag</t>
  </si>
  <si>
    <t>KEHOP-5.4.1-16-2016-00400</t>
  </si>
  <si>
    <t>Szemléletformáló programok Heves városban</t>
  </si>
  <si>
    <t>KEHOP-5.4.1-16-2016-00400 Szemléletformáló programok Heves városban</t>
  </si>
  <si>
    <t>Önkormányzatok és önkormányzati hivatalok jogalkotó és általános igazgatási tevékenysége (KEHOP-5.4.1)</t>
  </si>
  <si>
    <t>Önkormányzatok és társulások igazgatási tevékenysége (KEHOP-5.4.1-16-2016-00400 Szemléletformáló programok Heves városban)</t>
  </si>
  <si>
    <t>EFOP-1.2.9-17-2017-00024</t>
  </si>
  <si>
    <t>TOP-1.1.1-16-HE1-2017-00002 Iparterület kialakítása Heves Városban</t>
  </si>
  <si>
    <t>TOP-4.3.1-15-HE1-2016-00014 Leromlott területek rehabilitációja Heves városban</t>
  </si>
  <si>
    <t>EFOP-1.2.9-17-2017-00024 Nők a családban és a munkahelyen</t>
  </si>
  <si>
    <t>TOP-1.1.1-16-HE1-2017-00002</t>
  </si>
  <si>
    <t>TOP-4.3.1-15-HE1-2016-00014</t>
  </si>
  <si>
    <t>2019. évi érdekeltségnövelő támogatásból beruházás</t>
  </si>
  <si>
    <t>Informatikai fejlesztés (szerver, szgép alkatrészek)</t>
  </si>
  <si>
    <t>Az ún. Kisvárosi fejlesztési programhoz tervek készítése, korábbi terveink korszerűségi felülvizsgálata</t>
  </si>
  <si>
    <t>Szent István út és az Alkotmány út egy részének komplex felújítása</t>
  </si>
  <si>
    <t>Felszíni csapadékvíz elvezetés (Újtelepi településrész)</t>
  </si>
  <si>
    <t>Gyűjteményrendezés, műtárgyvédelem (salgópolcok, tárolóeszközök, rolók és rovarhálók</t>
  </si>
  <si>
    <t>Múzeumi gyűjtemény gyarapítás (könyvkötő hagyaték, kötélverő eszközök)</t>
  </si>
  <si>
    <t>Elmúlt évben mart aszfalt technológiával megvalósult útfelújítások</t>
  </si>
  <si>
    <t>Városüzemeltetési feladatok 2020.</t>
  </si>
  <si>
    <r>
      <rPr>
        <b/>
        <u/>
        <sz val="9"/>
        <rFont val="Times New Roman"/>
        <family val="1"/>
        <charset val="238"/>
      </rPr>
      <t>Kátyúzás:</t>
    </r>
    <r>
      <rPr>
        <b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Az elmúlt években jelentős nagyságrendben hajtottunk végre kátyúzási munkákat. Feltételezve, hogy ennek hatása az ideji évre is kihat, a 2020. évi kátyúzási munkák csak az "ütőkátyúk" megszüntetésére korlátozzuk.</t>
    </r>
  </si>
  <si>
    <r>
      <rPr>
        <b/>
        <u/>
        <sz val="9"/>
        <rFont val="Times New Roman"/>
        <family val="1"/>
        <charset val="238"/>
      </rPr>
      <t>Útkarbantartás és felújítás</t>
    </r>
    <r>
      <rPr>
        <u/>
        <sz val="9"/>
        <rFont val="Times New Roman"/>
        <family val="1"/>
        <charset val="238"/>
      </rPr>
      <t>:</t>
    </r>
    <r>
      <rPr>
        <sz val="9"/>
        <rFont val="Times New Roman"/>
        <family val="1"/>
        <charset val="238"/>
      </rPr>
      <t xml:space="preserve"> Az elmúlt évben megnyert BM-es pályázat segítségével a Szent István út és az Alkotmány út egy részének komplex felújítását végezzük el 2020-ban, a feladat támogatásának összege 30.000.000 Ft. Sürgető feladat a város egyik gyűjtőútjának, a Hunyadi útnak a felújítása.</t>
    </r>
  </si>
  <si>
    <r>
      <rPr>
        <b/>
        <u/>
        <sz val="9"/>
        <rFont val="Times New Roman"/>
        <family val="1"/>
        <charset val="238"/>
      </rPr>
      <t>Gyalogos átkelők létesítése:</t>
    </r>
    <r>
      <rPr>
        <b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A közlekedés biztonságának növelése érekében - lakossági igényként felmerült - indokolt 3 db gyalogos átkelő tervezése és megvalósítása (Benedek E. kisegítő iskola 2 db, sakkmúzeúm előtt 1 db)</t>
    </r>
  </si>
  <si>
    <r>
      <rPr>
        <b/>
        <u/>
        <sz val="9"/>
        <rFont val="Times New Roman"/>
        <family val="1"/>
        <charset val="238"/>
      </rPr>
      <t>Járdafelújítás</t>
    </r>
    <r>
      <rPr>
        <b/>
        <sz val="9"/>
        <rFont val="Times New Roman"/>
        <family val="1"/>
        <charset val="238"/>
      </rPr>
      <t>:</t>
    </r>
    <r>
      <rPr>
        <sz val="9"/>
        <rFont val="Times New Roman"/>
        <family val="1"/>
        <charset val="238"/>
      </rPr>
      <t>Az elmúlt években képviselői keretből, saját forrásból és a közmunka program révén jelentős járdafelújítások történtek, ezért a tárgyi évben ezen a jogcímen nem tervezünk kiadást.</t>
    </r>
  </si>
  <si>
    <r>
      <rPr>
        <b/>
        <u/>
        <sz val="9"/>
        <rFont val="Times New Roman"/>
        <family val="1"/>
        <charset val="238"/>
      </rPr>
      <t>Felszíni csapadékvíz elvezetés (a meglévő tervet felülvizsgálni/aktualizálni ütemezni)</t>
    </r>
    <r>
      <rPr>
        <sz val="9"/>
        <rFont val="Times New Roman"/>
        <family val="1"/>
        <charset val="238"/>
      </rPr>
      <t>: Elsősorban a város Újtelepi részein közepes intezitású esőzés is komoly belvízproblémákat okoz. (Május 1. u. Somogyi u. Alkotmány u.) Ezeken a területeken indokolt csapadékvíz elvezetést megterveztetni és megvalósítani.</t>
    </r>
  </si>
  <si>
    <t>Elmúlt évben megvalósult mart aszfalt technológiával megvalósult útjavítások:</t>
  </si>
  <si>
    <r>
      <rPr>
        <b/>
        <u/>
        <sz val="9"/>
        <rFont val="Times New Roman"/>
        <family val="1"/>
        <charset val="238"/>
      </rPr>
      <t>Közvilágítási hálózat felújítása bővítése:</t>
    </r>
    <r>
      <rPr>
        <sz val="9"/>
        <rFont val="Times New Roman"/>
        <family val="1"/>
        <charset val="238"/>
      </rPr>
      <t xml:space="preserve"> A közvilágítási hálózat bővítése és felújításának igénye merült fel a település több részén: Alatka, Bernáthegy. A nevezett területeken a hálózat nem rendelkezik közvilágítási szállal, ezért ennek vezetékelését is költségelni kell, és megvizsgáljuk napelemes közvilágítási lámpatestek felszerelését. Az elavúlt lámpatestek cseréje szükséges a Pusztacsászi város részen és a kemping környékén.</t>
    </r>
  </si>
  <si>
    <t>A közkifolyók számának további csökkentése nem lehetséges, ezért a szakfeladatra előirányzott költség meghatározása a 2019. évi teljesítés figyelembevételével történt.</t>
  </si>
  <si>
    <t>A 2019-ben a Gyöngyösi u. temető is az önkormányzat kezelésébe került. Az üzemeltetést a HEVA Kft. végzi. A temető folyamatos ápoltságának biztosítására folyamatos gondnokra lenne szükség.</t>
  </si>
  <si>
    <r>
      <rPr>
        <b/>
        <u/>
        <sz val="9"/>
        <rFont val="Times New Roman"/>
        <family val="1"/>
        <charset val="238"/>
      </rPr>
      <t>Rágcsáló irtás:</t>
    </r>
    <r>
      <rPr>
        <sz val="9"/>
        <rFont val="Times New Roman"/>
        <family val="1"/>
        <charset val="238"/>
      </rPr>
      <t xml:space="preserve">  A rágcsálók irtása lakossági igényként jelenik meg.</t>
    </r>
  </si>
  <si>
    <r>
      <rPr>
        <b/>
        <u/>
        <sz val="9"/>
        <rFont val="Times New Roman"/>
        <family val="1"/>
        <charset val="238"/>
      </rPr>
      <t>A Régió-Kom</t>
    </r>
    <r>
      <rPr>
        <sz val="9"/>
        <rFont val="Times New Roman"/>
        <family val="1"/>
        <charset val="238"/>
      </rPr>
      <t xml:space="preserve">  követelésvásárlás 2020.évi ütem</t>
    </r>
  </si>
  <si>
    <r>
      <t xml:space="preserve">A </t>
    </r>
    <r>
      <rPr>
        <b/>
        <u/>
        <sz val="9"/>
        <rFont val="Times New Roman"/>
        <family val="1"/>
        <charset val="238"/>
      </rPr>
      <t>2020. évi közfoglalkoztatás</t>
    </r>
    <r>
      <rPr>
        <sz val="9"/>
        <rFont val="Times New Roman"/>
        <family val="1"/>
        <charset val="238"/>
      </rPr>
      <t xml:space="preserve"> önkormányzati önrészére betervezett összeg</t>
    </r>
  </si>
  <si>
    <r>
      <t xml:space="preserve">A </t>
    </r>
    <r>
      <rPr>
        <b/>
        <u/>
        <sz val="9"/>
        <rFont val="Times New Roman"/>
        <family val="1"/>
        <charset val="238"/>
      </rPr>
      <t>már aláírt szerződések</t>
    </r>
    <r>
      <rPr>
        <sz val="9"/>
        <rFont val="Times New Roman"/>
        <family val="1"/>
        <charset val="238"/>
      </rPr>
      <t xml:space="preserve"> szerint a közfoglalkoztatás költségei januártól áprilisig (100%-ban támogatott)</t>
    </r>
  </si>
  <si>
    <t>A startmunka program keretében 2020-ben is is pályázunk. A foglalkoztatást 54 fő bevonásával tervezzük.</t>
  </si>
  <si>
    <t>A hagyományos közfoglalkoztatás 2020 évre vonatkozó támogatottsága még nem ismert. Valószínűleg a 2019-es évhez hasonlóan a  hosszabb távú foglalkoztatás 70-100%-ban lesz támogatható és a dologi kiadásokra kevesebb támogatást kapunk.</t>
  </si>
  <si>
    <t>A közfoglalkoztatási bér bruttó összege 2019-ben nem változik, a 8 órás foglalkoztatás 81.530 forint, a garantált bér összege 106.555 forint.  A kifizetés havi rendszerességgel történik.</t>
  </si>
  <si>
    <t>A közterület használati díjak 2020. évben emelkednek, amelyet a tervszám kialakításakor figyelembe vettünk.</t>
  </si>
  <si>
    <t>Az elmúlt évben vagyonkezelés céljára megkapott és ipari fejlesztések számára vásárolt földterületek mezőgazdasági hasznosításahoz kapott földalapú támogatás kerül tervezésre, mely terület a Viczán tó melletti területtel bővűlt.</t>
  </si>
  <si>
    <t>Károlyi M. úti volt NHSZ  telephely bérbeadása DEHU Np. Kft.</t>
  </si>
  <si>
    <t>Károlyi M. úti volt NHSZ  telephely bérbeadása GreenIris Kft.</t>
  </si>
  <si>
    <t>HEVA Kft. piac bérbeadása</t>
  </si>
  <si>
    <t>HEVA Kft. sportcsarnok üzemeltetése</t>
  </si>
  <si>
    <t>Ingatlanok vásárlása városfejlesztési feladatok megvalósítása érdekében : Hevesért Közalapítvány tulajdonrendezése 2019. évi összegből elmaradt rész, 2020.évi ütem, NHSZ ingatlan vásárlás 2019.évi ütem és 2020. évi ütem NHSZ kompenzáció 2019.évi ütem stb.</t>
  </si>
  <si>
    <t>A Művelődési Ház érdekeltségnövelő pályázatának megvalósítása : Művelődési Ház légkondícionálásának kiépítése, amelynek részbeni fedezete a 2019. évi közművelődési érdekeltségnövelő pályázaton elnyert összeg.</t>
  </si>
  <si>
    <t>A rendezési terv átfogó felülvizsgálatának befejezése ( a törvényi határidő 2020.dec.31.), és digitális települési alaptérkép elkészítése.</t>
  </si>
  <si>
    <t>A büntetésvégrehajtási intézet létesítéséhez vállalt 20kv középfeszültségű elektromos hálózat áthelyzése.</t>
  </si>
  <si>
    <t>Az ún. Kisvárosi fejlesztési programhoz tervek készítése, korábbi terveink korszerűségi felülvizsgálata.</t>
  </si>
  <si>
    <t>Az EU-s támogatási forrásból elnyert fejlesztési pályázatok megvalósulása során kialakult  költségnövekedések fedezetének biztosítása.</t>
  </si>
  <si>
    <t>CÉLTART</t>
  </si>
  <si>
    <t>Mezei őrszolgálat eszközbeszerzése : mezei őrszolgálat működésének javításához szükséges éjjelltátó, hőkamera és földmérő készülék beszerzése.</t>
  </si>
  <si>
    <t>MŐSZ kiadásainak felülvizsgálata</t>
  </si>
  <si>
    <t>HKÖH kiadásainak felülvizsgálata (köztisztviselői, fizikai üres álláshelyek részleges zárolása)</t>
  </si>
  <si>
    <t>Fejlesztési hitel felvétele - Szent István út és az Alkotmány út egy részének komplex felújítása önerő</t>
  </si>
  <si>
    <t>Önkormányzati beruházások felülvizsgálata - Közvilágítás bővítése</t>
  </si>
  <si>
    <t>Közfoglalkoztatás kiadásainak, bevételeinek felülvizsgálata</t>
  </si>
  <si>
    <t>ÖNK egyéb kiadásainak, bevételeinek felülvizsgálata</t>
  </si>
  <si>
    <t>Egyéb bevételek, kiadások (rendezés)</t>
  </si>
  <si>
    <t>Támogatások (rendezés)</t>
  </si>
  <si>
    <t>Helyi iparűzési adó</t>
  </si>
  <si>
    <t>Önkormányzatok működési támogatásainak rendezése átvett pénzekről (múzeumi feladatok támogatása)</t>
  </si>
  <si>
    <t>Önkormányzati felújítások felülvizsgálata - Felszíni csapadékvíz elvezetés (Újtelepi településrész)</t>
  </si>
  <si>
    <t>Céltartalékok felülviszgálata</t>
  </si>
  <si>
    <t>Főnix Trampolin Sportegyesület</t>
  </si>
  <si>
    <t>Önkormányzati céltámogatások felülvizsgálata</t>
  </si>
  <si>
    <t>2020. évi működési célú finanszírozási bevételek előirányzata</t>
  </si>
  <si>
    <t>A 2020. évi I. és a II. fordulós költségvetés tervezet közötti módosítás</t>
  </si>
  <si>
    <t>2020. évi felhalmozási célú finanszírozási bevételek előirányzata</t>
  </si>
  <si>
    <t>2020. évi felhalmozási célú finanszírozási kiadások előirányzata</t>
  </si>
  <si>
    <t>2020. évi működési célú finanszírozási kiadások előirányzata</t>
  </si>
  <si>
    <t>Készletértékesítés ellenértéke (B401)</t>
  </si>
</sst>
</file>

<file path=xl/styles.xml><?xml version="1.0" encoding="utf-8"?>
<styleSheet xmlns="http://schemas.openxmlformats.org/spreadsheetml/2006/main">
  <numFmts count="6">
    <numFmt numFmtId="43" formatCode="_-* #,##0.00\ _F_t_-;\-* #,##0.00\ _F_t_-;_-* &quot;-&quot;??\ _F_t_-;_-@_-"/>
    <numFmt numFmtId="164" formatCode="#,##0.0"/>
    <numFmt numFmtId="165" formatCode="#,###"/>
    <numFmt numFmtId="166" formatCode="0.0"/>
    <numFmt numFmtId="167" formatCode="#,##0_ ;\-#,##0\ "/>
    <numFmt numFmtId="168" formatCode="#,##0&quot;.&quot;"/>
  </numFmts>
  <fonts count="66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i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MS Sans Serif"/>
      <family val="2"/>
      <charset val="238"/>
    </font>
    <font>
      <sz val="10"/>
      <name val="Times New Roman CE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charset val="238"/>
    </font>
    <font>
      <b/>
      <i/>
      <sz val="9"/>
      <name val="Times New Roman CE"/>
      <charset val="238"/>
    </font>
    <font>
      <b/>
      <sz val="9"/>
      <name val="Times New Roman CE"/>
      <charset val="238"/>
    </font>
    <font>
      <sz val="9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9"/>
      <name val="Times New Roman CE"/>
      <charset val="238"/>
    </font>
    <font>
      <vertAlign val="superscript"/>
      <sz val="9"/>
      <name val="Times New Roman CE"/>
      <charset val="238"/>
    </font>
    <font>
      <b/>
      <vertAlign val="superscript"/>
      <sz val="9"/>
      <name val="Times New Roman CE"/>
      <charset val="238"/>
    </font>
    <font>
      <b/>
      <i/>
      <sz val="12"/>
      <name val="Times New Roman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name val="Arial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11"/>
      <color indexed="8"/>
      <name val="Calibri"/>
      <family val="2"/>
      <charset val="238"/>
    </font>
    <font>
      <sz val="9"/>
      <color indexed="10"/>
      <name val="Times New Roman CE"/>
      <charset val="238"/>
    </font>
    <font>
      <b/>
      <sz val="9"/>
      <color indexed="10"/>
      <name val="Times New Roman CE"/>
      <charset val="238"/>
    </font>
    <font>
      <u/>
      <sz val="9"/>
      <name val="Times New Roman"/>
      <family val="1"/>
      <charset val="238"/>
    </font>
    <font>
      <sz val="8"/>
      <name val="Arial CE"/>
      <charset val="238"/>
    </font>
    <font>
      <b/>
      <sz val="8"/>
      <name val="Arial CE"/>
      <charset val="238"/>
    </font>
    <font>
      <i/>
      <sz val="8"/>
      <name val="Arial CE"/>
      <charset val="238"/>
    </font>
    <font>
      <b/>
      <i/>
      <sz val="8"/>
      <name val="Arial CE"/>
      <charset val="238"/>
    </font>
    <font>
      <sz val="9"/>
      <color indexed="40"/>
      <name val="Times New Roman CE"/>
      <charset val="238"/>
    </font>
    <font>
      <b/>
      <sz val="9"/>
      <color indexed="4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Times New Roman"/>
      <family val="2"/>
      <charset val="238"/>
    </font>
    <font>
      <sz val="9"/>
      <color rgb="FF00B0F0"/>
      <name val="Times New Roman CE"/>
      <charset val="238"/>
    </font>
    <font>
      <sz val="9"/>
      <color rgb="FFFF0000"/>
      <name val="Times New Roman CE"/>
      <charset val="238"/>
    </font>
    <font>
      <sz val="12"/>
      <color rgb="FFFF0000"/>
      <name val="Times New Roman CE"/>
      <charset val="238"/>
    </font>
    <font>
      <b/>
      <sz val="9"/>
      <color rgb="FFFF0000"/>
      <name val="Times New Roman CE"/>
      <charset val="238"/>
    </font>
    <font>
      <i/>
      <sz val="9"/>
      <color rgb="FFFF0000"/>
      <name val="Times New Roman CE"/>
      <charset val="238"/>
    </font>
    <font>
      <sz val="9"/>
      <color rgb="FFC00000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b/>
      <sz val="9"/>
      <color rgb="FF00B0F0"/>
      <name val="Times New Roman CE"/>
      <charset val="238"/>
    </font>
    <font>
      <i/>
      <u/>
      <sz val="9"/>
      <name val="Times New Roman CE"/>
      <charset val="238"/>
    </font>
    <font>
      <b/>
      <i/>
      <sz val="9"/>
      <color rgb="FFFF0000"/>
      <name val="Times New Roman CE"/>
      <charset val="238"/>
    </font>
    <font>
      <b/>
      <sz val="9"/>
      <color rgb="FFFFC000"/>
      <name val="Times New Roman CE"/>
      <charset val="238"/>
    </font>
    <font>
      <i/>
      <sz val="1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0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43">
    <xf numFmtId="0" fontId="0" fillId="0" borderId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3" fontId="4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50" fillId="0" borderId="0"/>
    <xf numFmtId="0" fontId="2" fillId="0" borderId="0"/>
    <xf numFmtId="0" fontId="6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6" fillId="0" borderId="0"/>
    <xf numFmtId="0" fontId="2" fillId="0" borderId="0"/>
    <xf numFmtId="0" fontId="51" fillId="0" borderId="0"/>
    <xf numFmtId="0" fontId="2" fillId="0" borderId="0"/>
    <xf numFmtId="0" fontId="52" fillId="0" borderId="0"/>
    <xf numFmtId="3" fontId="4" fillId="0" borderId="0">
      <alignment vertical="center"/>
    </xf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3" fontId="4" fillId="0" borderId="0">
      <alignment vertical="center"/>
    </xf>
    <xf numFmtId="0" fontId="4" fillId="0" borderId="0">
      <alignment vertical="center"/>
    </xf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92">
    <xf numFmtId="0" fontId="0" fillId="0" borderId="0" xfId="0"/>
    <xf numFmtId="3" fontId="7" fillId="0" borderId="0" xfId="31" applyNumberFormat="1" applyFont="1" applyFill="1"/>
    <xf numFmtId="3" fontId="8" fillId="0" borderId="0" xfId="31" applyNumberFormat="1" applyFont="1" applyFill="1"/>
    <xf numFmtId="3" fontId="15" fillId="0" borderId="0" xfId="0" applyNumberFormat="1" applyFont="1"/>
    <xf numFmtId="3" fontId="16" fillId="0" borderId="0" xfId="0" applyNumberFormat="1" applyFont="1"/>
    <xf numFmtId="3" fontId="15" fillId="0" borderId="12" xfId="0" applyNumberFormat="1" applyFont="1" applyBorder="1" applyAlignment="1">
      <alignment horizontal="center" vertical="center" wrapText="1"/>
    </xf>
    <xf numFmtId="3" fontId="15" fillId="0" borderId="13" xfId="0" applyNumberFormat="1" applyFont="1" applyBorder="1" applyAlignment="1">
      <alignment horizontal="center" vertical="center" wrapText="1"/>
    </xf>
    <xf numFmtId="3" fontId="15" fillId="0" borderId="10" xfId="0" applyNumberFormat="1" applyFont="1" applyBorder="1" applyAlignment="1">
      <alignment horizontal="center" vertical="center" wrapText="1"/>
    </xf>
    <xf numFmtId="3" fontId="15" fillId="0" borderId="9" xfId="0" applyNumberFormat="1" applyFont="1" applyBorder="1" applyAlignment="1">
      <alignment horizontal="center" vertical="center" wrapText="1"/>
    </xf>
    <xf numFmtId="3" fontId="15" fillId="0" borderId="0" xfId="0" applyNumberFormat="1" applyFont="1" applyAlignment="1">
      <alignment horizontal="center" vertical="center"/>
    </xf>
    <xf numFmtId="3" fontId="15" fillId="0" borderId="16" xfId="0" applyNumberFormat="1" applyFont="1" applyBorder="1"/>
    <xf numFmtId="3" fontId="16" fillId="0" borderId="16" xfId="0" applyNumberFormat="1" applyFont="1" applyBorder="1"/>
    <xf numFmtId="3" fontId="16" fillId="0" borderId="2" xfId="0" applyNumberFormat="1" applyFont="1" applyBorder="1"/>
    <xf numFmtId="3" fontId="17" fillId="0" borderId="2" xfId="0" applyNumberFormat="1" applyFont="1" applyBorder="1"/>
    <xf numFmtId="3" fontId="17" fillId="0" borderId="0" xfId="0" applyNumberFormat="1" applyFont="1"/>
    <xf numFmtId="3" fontId="15" fillId="0" borderId="17" xfId="0" applyNumberFormat="1" applyFont="1" applyBorder="1"/>
    <xf numFmtId="3" fontId="17" fillId="0" borderId="18" xfId="0" applyNumberFormat="1" applyFont="1" applyBorder="1"/>
    <xf numFmtId="3" fontId="16" fillId="0" borderId="18" xfId="0" applyNumberFormat="1" applyFont="1" applyBorder="1"/>
    <xf numFmtId="3" fontId="16" fillId="0" borderId="19" xfId="0" applyNumberFormat="1" applyFont="1" applyBorder="1"/>
    <xf numFmtId="3" fontId="15" fillId="0" borderId="6" xfId="0" applyNumberFormat="1" applyFont="1" applyBorder="1"/>
    <xf numFmtId="3" fontId="17" fillId="0" borderId="20" xfId="0" applyNumberFormat="1" applyFont="1" applyBorder="1"/>
    <xf numFmtId="3" fontId="16" fillId="0" borderId="20" xfId="0" applyNumberFormat="1" applyFont="1" applyBorder="1"/>
    <xf numFmtId="3" fontId="16" fillId="0" borderId="21" xfId="0" applyNumberFormat="1" applyFont="1" applyBorder="1"/>
    <xf numFmtId="3" fontId="16" fillId="0" borderId="22" xfId="0" applyNumberFormat="1" applyFont="1" applyBorder="1"/>
    <xf numFmtId="3" fontId="17" fillId="0" borderId="22" xfId="0" applyNumberFormat="1" applyFont="1" applyBorder="1"/>
    <xf numFmtId="3" fontId="16" fillId="0" borderId="23" xfId="0" applyNumberFormat="1" applyFont="1" applyBorder="1"/>
    <xf numFmtId="3" fontId="16" fillId="0" borderId="24" xfId="0" applyNumberFormat="1" applyFont="1" applyBorder="1"/>
    <xf numFmtId="3" fontId="16" fillId="0" borderId="4" xfId="0" applyNumberFormat="1" applyFont="1" applyBorder="1"/>
    <xf numFmtId="3" fontId="16" fillId="0" borderId="25" xfId="0" applyNumberFormat="1" applyFont="1" applyBorder="1"/>
    <xf numFmtId="3" fontId="16" fillId="0" borderId="26" xfId="0" applyNumberFormat="1" applyFont="1" applyBorder="1"/>
    <xf numFmtId="3" fontId="15" fillId="0" borderId="27" xfId="0" applyNumberFormat="1" applyFont="1" applyBorder="1"/>
    <xf numFmtId="3" fontId="15" fillId="0" borderId="28" xfId="0" applyNumberFormat="1" applyFont="1" applyBorder="1"/>
    <xf numFmtId="3" fontId="15" fillId="0" borderId="29" xfId="0" applyNumberFormat="1" applyFont="1" applyBorder="1"/>
    <xf numFmtId="3" fontId="15" fillId="0" borderId="13" xfId="0" applyNumberFormat="1" applyFont="1" applyBorder="1"/>
    <xf numFmtId="3" fontId="15" fillId="0" borderId="10" xfId="0" applyNumberFormat="1" applyFont="1" applyBorder="1"/>
    <xf numFmtId="3" fontId="15" fillId="0" borderId="9" xfId="0" applyNumberFormat="1" applyFont="1" applyBorder="1"/>
    <xf numFmtId="3" fontId="16" fillId="0" borderId="30" xfId="0" applyNumberFormat="1" applyFont="1" applyBorder="1"/>
    <xf numFmtId="3" fontId="15" fillId="0" borderId="0" xfId="0" applyNumberFormat="1" applyFont="1" applyBorder="1"/>
    <xf numFmtId="3" fontId="15" fillId="0" borderId="1" xfId="0" applyNumberFormat="1" applyFont="1" applyBorder="1"/>
    <xf numFmtId="3" fontId="15" fillId="0" borderId="31" xfId="0" applyNumberFormat="1" applyFont="1" applyBorder="1"/>
    <xf numFmtId="3" fontId="15" fillId="0" borderId="32" xfId="0" applyNumberFormat="1" applyFont="1" applyBorder="1"/>
    <xf numFmtId="3" fontId="16" fillId="0" borderId="6" xfId="0" applyNumberFormat="1" applyFont="1" applyBorder="1"/>
    <xf numFmtId="3" fontId="16" fillId="0" borderId="17" xfId="0" applyNumberFormat="1" applyFont="1" applyBorder="1"/>
    <xf numFmtId="3" fontId="15" fillId="0" borderId="33" xfId="0" applyNumberFormat="1" applyFont="1" applyBorder="1"/>
    <xf numFmtId="3" fontId="15" fillId="0" borderId="34" xfId="0" applyNumberFormat="1" applyFont="1" applyBorder="1"/>
    <xf numFmtId="3" fontId="15" fillId="0" borderId="35" xfId="0" applyNumberFormat="1" applyFont="1" applyBorder="1"/>
    <xf numFmtId="3" fontId="18" fillId="0" borderId="0" xfId="0" applyNumberFormat="1" applyFont="1"/>
    <xf numFmtId="3" fontId="18" fillId="0" borderId="0" xfId="0" applyNumberFormat="1" applyFont="1" applyAlignment="1">
      <alignment horizontal="right"/>
    </xf>
    <xf numFmtId="3" fontId="18" fillId="0" borderId="0" xfId="0" applyNumberFormat="1" applyFont="1" applyAlignment="1">
      <alignment horizontal="left"/>
    </xf>
    <xf numFmtId="3" fontId="15" fillId="0" borderId="34" xfId="0" applyNumberFormat="1" applyFont="1" applyBorder="1" applyAlignment="1">
      <alignment horizontal="center" vertical="center" wrapText="1"/>
    </xf>
    <xf numFmtId="3" fontId="16" fillId="0" borderId="36" xfId="0" applyNumberFormat="1" applyFont="1" applyBorder="1"/>
    <xf numFmtId="3" fontId="16" fillId="0" borderId="37" xfId="0" applyNumberFormat="1" applyFont="1" applyBorder="1"/>
    <xf numFmtId="3" fontId="17" fillId="0" borderId="19" xfId="0" applyNumberFormat="1" applyFont="1" applyBorder="1"/>
    <xf numFmtId="3" fontId="17" fillId="0" borderId="36" xfId="0" applyNumberFormat="1" applyFont="1" applyBorder="1"/>
    <xf numFmtId="3" fontId="17" fillId="0" borderId="25" xfId="0" applyNumberFormat="1" applyFont="1" applyBorder="1"/>
    <xf numFmtId="3" fontId="17" fillId="0" borderId="26" xfId="0" applyNumberFormat="1" applyFont="1" applyBorder="1"/>
    <xf numFmtId="3" fontId="17" fillId="0" borderId="4" xfId="0" applyNumberFormat="1" applyFont="1" applyBorder="1"/>
    <xf numFmtId="3" fontId="17" fillId="0" borderId="37" xfId="0" applyNumberFormat="1" applyFont="1" applyBorder="1"/>
    <xf numFmtId="3" fontId="17" fillId="0" borderId="24" xfId="0" applyNumberFormat="1" applyFont="1" applyBorder="1"/>
    <xf numFmtId="3" fontId="17" fillId="0" borderId="23" xfId="0" applyNumberFormat="1" applyFont="1" applyBorder="1"/>
    <xf numFmtId="3" fontId="16" fillId="0" borderId="38" xfId="0" applyNumberFormat="1" applyFont="1" applyBorder="1"/>
    <xf numFmtId="3" fontId="16" fillId="0" borderId="39" xfId="0" applyNumberFormat="1" applyFont="1" applyBorder="1"/>
    <xf numFmtId="3" fontId="16" fillId="0" borderId="40" xfId="0" applyNumberFormat="1" applyFont="1" applyBorder="1"/>
    <xf numFmtId="3" fontId="19" fillId="0" borderId="0" xfId="0" applyNumberFormat="1" applyFont="1"/>
    <xf numFmtId="3" fontId="19" fillId="0" borderId="0" xfId="0" applyNumberFormat="1" applyFont="1" applyAlignment="1">
      <alignment horizontal="right"/>
    </xf>
    <xf numFmtId="3" fontId="20" fillId="0" borderId="0" xfId="0" applyNumberFormat="1" applyFont="1"/>
    <xf numFmtId="3" fontId="15" fillId="0" borderId="0" xfId="0" applyNumberFormat="1" applyFont="1" applyBorder="1" applyAlignment="1">
      <alignment horizontal="center"/>
    </xf>
    <xf numFmtId="164" fontId="15" fillId="0" borderId="21" xfId="0" applyNumberFormat="1" applyFont="1" applyBorder="1"/>
    <xf numFmtId="164" fontId="15" fillId="0" borderId="40" xfId="0" applyNumberFormat="1" applyFont="1" applyBorder="1"/>
    <xf numFmtId="164" fontId="15" fillId="0" borderId="38" xfId="0" applyNumberFormat="1" applyFont="1" applyBorder="1"/>
    <xf numFmtId="164" fontId="15" fillId="0" borderId="39" xfId="0" applyNumberFormat="1" applyFont="1" applyBorder="1"/>
    <xf numFmtId="164" fontId="15" fillId="0" borderId="24" xfId="0" applyNumberFormat="1" applyFont="1" applyBorder="1"/>
    <xf numFmtId="164" fontId="15" fillId="0" borderId="4" xfId="0" applyNumberFormat="1" applyFont="1" applyBorder="1"/>
    <xf numFmtId="164" fontId="15" fillId="0" borderId="25" xfId="0" applyNumberFormat="1" applyFont="1" applyBorder="1"/>
    <xf numFmtId="164" fontId="15" fillId="0" borderId="26" xfId="0" applyNumberFormat="1" applyFont="1" applyBorder="1"/>
    <xf numFmtId="164" fontId="15" fillId="0" borderId="34" xfId="0" applyNumberFormat="1" applyFont="1" applyBorder="1"/>
    <xf numFmtId="164" fontId="15" fillId="0" borderId="13" xfId="0" applyNumberFormat="1" applyFont="1" applyBorder="1"/>
    <xf numFmtId="164" fontId="15" fillId="0" borderId="10" xfId="0" applyNumberFormat="1" applyFont="1" applyBorder="1"/>
    <xf numFmtId="164" fontId="15" fillId="0" borderId="9" xfId="0" applyNumberFormat="1" applyFont="1" applyBorder="1"/>
    <xf numFmtId="49" fontId="15" fillId="0" borderId="0" xfId="0" applyNumberFormat="1" applyFont="1" applyBorder="1"/>
    <xf numFmtId="49" fontId="15" fillId="0" borderId="41" xfId="0" applyNumberFormat="1" applyFont="1" applyBorder="1" applyAlignment="1">
      <alignment horizontal="left" indent="1"/>
    </xf>
    <xf numFmtId="49" fontId="16" fillId="0" borderId="7" xfId="0" applyNumberFormat="1" applyFont="1" applyBorder="1" applyAlignment="1">
      <alignment horizontal="left" indent="2"/>
    </xf>
    <xf numFmtId="49" fontId="17" fillId="0" borderId="42" xfId="0" applyNumberFormat="1" applyFont="1" applyBorder="1" applyAlignment="1">
      <alignment horizontal="left" indent="3"/>
    </xf>
    <xf numFmtId="49" fontId="16" fillId="0" borderId="42" xfId="0" applyNumberFormat="1" applyFont="1" applyBorder="1" applyAlignment="1">
      <alignment horizontal="left" indent="2"/>
    </xf>
    <xf numFmtId="49" fontId="16" fillId="0" borderId="5" xfId="0" applyNumberFormat="1" applyFont="1" applyBorder="1" applyAlignment="1">
      <alignment horizontal="left" indent="2"/>
    </xf>
    <xf numFmtId="49" fontId="15" fillId="0" borderId="41" xfId="0" applyNumberFormat="1" applyFont="1" applyBorder="1"/>
    <xf numFmtId="49" fontId="15" fillId="0" borderId="41" xfId="0" applyNumberFormat="1" applyFont="1" applyBorder="1" applyAlignment="1">
      <alignment horizontal="left"/>
    </xf>
    <xf numFmtId="49" fontId="15" fillId="0" borderId="43" xfId="0" applyNumberFormat="1" applyFont="1" applyBorder="1"/>
    <xf numFmtId="49" fontId="16" fillId="0" borderId="7" xfId="0" applyNumberFormat="1" applyFont="1" applyBorder="1"/>
    <xf numFmtId="49" fontId="16" fillId="0" borderId="44" xfId="0" applyNumberFormat="1" applyFont="1" applyBorder="1"/>
    <xf numFmtId="49" fontId="17" fillId="0" borderId="5" xfId="0" applyNumberFormat="1" applyFont="1" applyBorder="1" applyAlignment="1">
      <alignment horizontal="left" indent="3"/>
    </xf>
    <xf numFmtId="49" fontId="17" fillId="0" borderId="44" xfId="0" applyNumberFormat="1" applyFont="1" applyBorder="1" applyAlignment="1">
      <alignment horizontal="left" indent="3"/>
    </xf>
    <xf numFmtId="49" fontId="15" fillId="0" borderId="15" xfId="0" applyNumberFormat="1" applyFont="1" applyBorder="1"/>
    <xf numFmtId="49" fontId="15" fillId="0" borderId="5" xfId="0" applyNumberFormat="1" applyFont="1" applyBorder="1"/>
    <xf numFmtId="49" fontId="16" fillId="0" borderId="24" xfId="0" applyNumberFormat="1" applyFont="1" applyBorder="1" applyAlignment="1">
      <alignment horizontal="center"/>
    </xf>
    <xf numFmtId="49" fontId="15" fillId="0" borderId="34" xfId="0" applyNumberFormat="1" applyFont="1" applyBorder="1" applyAlignment="1">
      <alignment horizontal="center" vertical="center" wrapText="1"/>
    </xf>
    <xf numFmtId="49" fontId="15" fillId="0" borderId="41" xfId="0" applyNumberFormat="1" applyFont="1" applyBorder="1" applyAlignment="1">
      <alignment horizontal="center" vertical="center"/>
    </xf>
    <xf numFmtId="49" fontId="15" fillId="0" borderId="33" xfId="0" applyNumberFormat="1" applyFont="1" applyBorder="1" applyAlignment="1">
      <alignment horizontal="center"/>
    </xf>
    <xf numFmtId="49" fontId="15" fillId="0" borderId="45" xfId="0" applyNumberFormat="1" applyFont="1" applyBorder="1" applyAlignment="1">
      <alignment horizontal="center"/>
    </xf>
    <xf numFmtId="49" fontId="15" fillId="0" borderId="34" xfId="0" applyNumberFormat="1" applyFont="1" applyBorder="1" applyAlignment="1">
      <alignment horizontal="center"/>
    </xf>
    <xf numFmtId="49" fontId="16" fillId="0" borderId="30" xfId="0" applyNumberFormat="1" applyFont="1" applyBorder="1" applyAlignment="1">
      <alignment horizontal="center"/>
    </xf>
    <xf numFmtId="49" fontId="16" fillId="0" borderId="22" xfId="0" applyNumberFormat="1" applyFont="1" applyBorder="1" applyAlignment="1">
      <alignment horizontal="center"/>
    </xf>
    <xf numFmtId="49" fontId="17" fillId="0" borderId="22" xfId="0" applyNumberFormat="1" applyFont="1" applyBorder="1" applyAlignment="1">
      <alignment horizontal="center"/>
    </xf>
    <xf numFmtId="49" fontId="15" fillId="0" borderId="35" xfId="0" applyNumberFormat="1" applyFont="1" applyBorder="1" applyAlignment="1">
      <alignment horizontal="center"/>
    </xf>
    <xf numFmtId="49" fontId="16" fillId="0" borderId="23" xfId="0" applyNumberFormat="1" applyFont="1" applyBorder="1" applyAlignment="1">
      <alignment horizontal="center"/>
    </xf>
    <xf numFmtId="49" fontId="17" fillId="0" borderId="24" xfId="0" applyNumberFormat="1" applyFont="1" applyBorder="1" applyAlignment="1">
      <alignment horizontal="center"/>
    </xf>
    <xf numFmtId="49" fontId="17" fillId="0" borderId="23" xfId="0" applyNumberFormat="1" applyFont="1" applyBorder="1" applyAlignment="1">
      <alignment horizontal="center"/>
    </xf>
    <xf numFmtId="49" fontId="15" fillId="0" borderId="21" xfId="0" applyNumberFormat="1" applyFont="1" applyBorder="1" applyAlignment="1">
      <alignment horizontal="center"/>
    </xf>
    <xf numFmtId="49" fontId="15" fillId="0" borderId="24" xfId="0" applyNumberFormat="1" applyFont="1" applyBorder="1" applyAlignment="1">
      <alignment horizontal="center"/>
    </xf>
    <xf numFmtId="49" fontId="15" fillId="0" borderId="12" xfId="0" applyNumberFormat="1" applyFont="1" applyBorder="1" applyAlignment="1">
      <alignment horizontal="center" vertical="center"/>
    </xf>
    <xf numFmtId="49" fontId="15" fillId="0" borderId="12" xfId="0" applyNumberFormat="1" applyFont="1" applyBorder="1" applyAlignment="1">
      <alignment horizontal="center"/>
    </xf>
    <xf numFmtId="49" fontId="15" fillId="0" borderId="46" xfId="0" applyNumberFormat="1" applyFont="1" applyBorder="1" applyAlignment="1">
      <alignment horizontal="center"/>
    </xf>
    <xf numFmtId="3" fontId="18" fillId="0" borderId="21" xfId="0" applyNumberFormat="1" applyFont="1" applyBorder="1"/>
    <xf numFmtId="3" fontId="18" fillId="0" borderId="40" xfId="0" applyNumberFormat="1" applyFont="1" applyBorder="1"/>
    <xf numFmtId="3" fontId="18" fillId="0" borderId="38" xfId="0" applyNumberFormat="1" applyFont="1" applyBorder="1"/>
    <xf numFmtId="3" fontId="18" fillId="0" borderId="39" xfId="0" applyNumberFormat="1" applyFont="1" applyBorder="1"/>
    <xf numFmtId="49" fontId="17" fillId="0" borderId="5" xfId="0" applyNumberFormat="1" applyFont="1" applyBorder="1" applyAlignment="1">
      <alignment horizontal="left"/>
    </xf>
    <xf numFmtId="164" fontId="17" fillId="0" borderId="24" xfId="0" applyNumberFormat="1" applyFont="1" applyBorder="1"/>
    <xf numFmtId="164" fontId="17" fillId="0" borderId="4" xfId="0" applyNumberFormat="1" applyFont="1" applyBorder="1"/>
    <xf numFmtId="164" fontId="17" fillId="0" borderId="25" xfId="0" applyNumberFormat="1" applyFont="1" applyBorder="1"/>
    <xf numFmtId="164" fontId="17" fillId="0" borderId="26" xfId="0" applyNumberFormat="1" applyFont="1" applyBorder="1"/>
    <xf numFmtId="49" fontId="17" fillId="2" borderId="22" xfId="0" applyNumberFormat="1" applyFont="1" applyFill="1" applyBorder="1" applyAlignment="1">
      <alignment horizontal="center"/>
    </xf>
    <xf numFmtId="49" fontId="17" fillId="2" borderId="42" xfId="0" applyNumberFormat="1" applyFont="1" applyFill="1" applyBorder="1" applyAlignment="1">
      <alignment horizontal="left" indent="3"/>
    </xf>
    <xf numFmtId="3" fontId="17" fillId="2" borderId="22" xfId="0" applyNumberFormat="1" applyFont="1" applyFill="1" applyBorder="1"/>
    <xf numFmtId="3" fontId="17" fillId="2" borderId="20" xfId="0" applyNumberFormat="1" applyFont="1" applyFill="1" applyBorder="1"/>
    <xf numFmtId="3" fontId="17" fillId="2" borderId="2" xfId="0" applyNumberFormat="1" applyFont="1" applyFill="1" applyBorder="1"/>
    <xf numFmtId="3" fontId="17" fillId="2" borderId="18" xfId="0" applyNumberFormat="1" applyFont="1" applyFill="1" applyBorder="1"/>
    <xf numFmtId="49" fontId="17" fillId="0" borderId="22" xfId="0" applyNumberFormat="1" applyFont="1" applyFill="1" applyBorder="1" applyAlignment="1">
      <alignment horizontal="center"/>
    </xf>
    <xf numFmtId="49" fontId="17" fillId="0" borderId="42" xfId="0" applyNumberFormat="1" applyFont="1" applyFill="1" applyBorder="1" applyAlignment="1">
      <alignment horizontal="left" indent="3"/>
    </xf>
    <xf numFmtId="3" fontId="16" fillId="0" borderId="22" xfId="0" applyNumberFormat="1" applyFont="1" applyFill="1" applyBorder="1"/>
    <xf numFmtId="3" fontId="15" fillId="0" borderId="34" xfId="0" applyNumberFormat="1" applyFont="1" applyFill="1" applyBorder="1"/>
    <xf numFmtId="3" fontId="15" fillId="0" borderId="13" xfId="0" applyNumberFormat="1" applyFont="1" applyFill="1" applyBorder="1"/>
    <xf numFmtId="3" fontId="15" fillId="0" borderId="10" xfId="0" applyNumberFormat="1" applyFont="1" applyFill="1" applyBorder="1"/>
    <xf numFmtId="3" fontId="15" fillId="0" borderId="9" xfId="0" applyNumberFormat="1" applyFont="1" applyFill="1" applyBorder="1"/>
    <xf numFmtId="3" fontId="17" fillId="0" borderId="22" xfId="0" applyNumberFormat="1" applyFont="1" applyFill="1" applyBorder="1"/>
    <xf numFmtId="49" fontId="16" fillId="0" borderId="7" xfId="0" applyNumberFormat="1" applyFont="1" applyFill="1" applyBorder="1" applyAlignment="1">
      <alignment horizontal="left" indent="2"/>
    </xf>
    <xf numFmtId="3" fontId="16" fillId="0" borderId="30" xfId="0" applyNumberFormat="1" applyFont="1" applyFill="1" applyBorder="1"/>
    <xf numFmtId="3" fontId="16" fillId="0" borderId="6" xfId="0" applyNumberFormat="1" applyFont="1" applyFill="1" applyBorder="1"/>
    <xf numFmtId="3" fontId="16" fillId="0" borderId="16" xfId="0" applyNumberFormat="1" applyFont="1" applyFill="1" applyBorder="1"/>
    <xf numFmtId="3" fontId="16" fillId="0" borderId="17" xfId="0" applyNumberFormat="1" applyFont="1" applyFill="1" applyBorder="1"/>
    <xf numFmtId="3" fontId="17" fillId="0" borderId="0" xfId="0" applyNumberFormat="1" applyFont="1" applyFill="1"/>
    <xf numFmtId="3" fontId="16" fillId="0" borderId="0" xfId="0" applyNumberFormat="1" applyFont="1" applyFill="1"/>
    <xf numFmtId="3" fontId="16" fillId="0" borderId="24" xfId="0" applyNumberFormat="1" applyFont="1" applyFill="1" applyBorder="1"/>
    <xf numFmtId="3" fontId="15" fillId="0" borderId="0" xfId="0" applyNumberFormat="1" applyFont="1" applyFill="1"/>
    <xf numFmtId="49" fontId="16" fillId="0" borderId="15" xfId="0" applyNumberFormat="1" applyFont="1" applyBorder="1" applyAlignment="1">
      <alignment horizontal="left" indent="1"/>
    </xf>
    <xf numFmtId="49" fontId="15" fillId="0" borderId="47" xfId="0" applyNumberFormat="1" applyFont="1" applyBorder="1"/>
    <xf numFmtId="49" fontId="17" fillId="0" borderId="42" xfId="0" applyNumberFormat="1" applyFont="1" applyBorder="1" applyAlignment="1">
      <alignment horizontal="left" indent="2"/>
    </xf>
    <xf numFmtId="49" fontId="17" fillId="0" borderId="42" xfId="0" applyNumberFormat="1" applyFont="1" applyBorder="1" applyAlignment="1">
      <alignment horizontal="left" indent="1"/>
    </xf>
    <xf numFmtId="49" fontId="17" fillId="0" borderId="44" xfId="0" applyNumberFormat="1" applyFont="1" applyBorder="1" applyAlignment="1">
      <alignment horizontal="left" indent="1"/>
    </xf>
    <xf numFmtId="49" fontId="16" fillId="0" borderId="21" xfId="0" applyNumberFormat="1" applyFont="1" applyBorder="1" applyAlignment="1">
      <alignment horizontal="center"/>
    </xf>
    <xf numFmtId="49" fontId="16" fillId="0" borderId="48" xfId="0" applyNumberFormat="1" applyFont="1" applyBorder="1" applyAlignment="1">
      <alignment horizontal="left" indent="1"/>
    </xf>
    <xf numFmtId="49" fontId="16" fillId="0" borderId="42" xfId="0" applyNumberFormat="1" applyFont="1" applyBorder="1" applyAlignment="1">
      <alignment horizontal="left" indent="1"/>
    </xf>
    <xf numFmtId="49" fontId="16" fillId="0" borderId="49" xfId="0" applyNumberFormat="1" applyFont="1" applyBorder="1" applyAlignment="1">
      <alignment horizontal="left" inden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5" fillId="0" borderId="13" xfId="0" applyNumberFormat="1" applyFont="1" applyBorder="1" applyAlignment="1">
      <alignment horizontal="center" vertical="center" wrapText="1"/>
    </xf>
    <xf numFmtId="49" fontId="15" fillId="0" borderId="12" xfId="0" applyNumberFormat="1" applyFont="1" applyBorder="1" applyAlignment="1">
      <alignment horizontal="center" vertical="center" wrapText="1"/>
    </xf>
    <xf numFmtId="3" fontId="15" fillId="0" borderId="47" xfId="0" applyNumberFormat="1" applyFont="1" applyBorder="1"/>
    <xf numFmtId="3" fontId="15" fillId="0" borderId="50" xfId="0" applyNumberFormat="1" applyFont="1" applyBorder="1"/>
    <xf numFmtId="3" fontId="15" fillId="0" borderId="51" xfId="0" applyNumberFormat="1" applyFont="1" applyBorder="1"/>
    <xf numFmtId="3" fontId="15" fillId="0" borderId="52" xfId="0" applyNumberFormat="1" applyFont="1" applyBorder="1"/>
    <xf numFmtId="49" fontId="15" fillId="0" borderId="45" xfId="0" applyNumberFormat="1" applyFont="1" applyBorder="1"/>
    <xf numFmtId="49" fontId="17" fillId="0" borderId="42" xfId="0" applyNumberFormat="1" applyFont="1" applyBorder="1" applyAlignment="1">
      <alignment horizontal="left" wrapText="1" indent="1"/>
    </xf>
    <xf numFmtId="49" fontId="17" fillId="0" borderId="53" xfId="0" applyNumberFormat="1" applyFont="1" applyBorder="1" applyAlignment="1">
      <alignment horizontal="left" wrapText="1" indent="1"/>
    </xf>
    <xf numFmtId="49" fontId="17" fillId="0" borderId="49" xfId="0" applyNumberFormat="1" applyFont="1" applyBorder="1" applyAlignment="1">
      <alignment horizontal="left" wrapText="1" indent="1"/>
    </xf>
    <xf numFmtId="3" fontId="15" fillId="0" borderId="9" xfId="0" applyNumberFormat="1" applyFont="1" applyBorder="1" applyAlignment="1">
      <alignment horizontal="right"/>
    </xf>
    <xf numFmtId="3" fontId="15" fillId="0" borderId="10" xfId="0" applyNumberFormat="1" applyFont="1" applyBorder="1" applyAlignment="1">
      <alignment horizontal="right"/>
    </xf>
    <xf numFmtId="3" fontId="15" fillId="0" borderId="13" xfId="0" applyNumberFormat="1" applyFont="1" applyBorder="1" applyAlignment="1">
      <alignment horizontal="right"/>
    </xf>
    <xf numFmtId="3" fontId="15" fillId="0" borderId="34" xfId="0" applyNumberFormat="1" applyFont="1" applyBorder="1" applyAlignment="1">
      <alignment horizontal="right"/>
    </xf>
    <xf numFmtId="0" fontId="7" fillId="0" borderId="0" xfId="11" applyFont="1"/>
    <xf numFmtId="4" fontId="7" fillId="0" borderId="0" xfId="11" applyNumberFormat="1" applyFont="1" applyAlignment="1">
      <alignment horizontal="right"/>
    </xf>
    <xf numFmtId="0" fontId="12" fillId="0" borderId="0" xfId="11" applyFont="1"/>
    <xf numFmtId="0" fontId="12" fillId="0" borderId="48" xfId="11" applyFont="1" applyBorder="1" applyAlignment="1">
      <alignment horizontal="center" vertical="center"/>
    </xf>
    <xf numFmtId="164" fontId="12" fillId="0" borderId="48" xfId="11" applyNumberFormat="1" applyFont="1" applyBorder="1" applyAlignment="1">
      <alignment horizontal="center" vertical="center"/>
    </xf>
    <xf numFmtId="164" fontId="12" fillId="0" borderId="54" xfId="11" applyNumberFormat="1" applyFont="1" applyFill="1" applyBorder="1" applyAlignment="1">
      <alignment horizontal="center" vertical="center" wrapText="1"/>
    </xf>
    <xf numFmtId="164" fontId="12" fillId="0" borderId="54" xfId="11" applyNumberFormat="1" applyFont="1" applyBorder="1" applyAlignment="1">
      <alignment horizontal="center" vertical="center" wrapText="1"/>
    </xf>
    <xf numFmtId="164" fontId="11" fillId="0" borderId="21" xfId="11" applyNumberFormat="1" applyFont="1" applyBorder="1" applyAlignment="1">
      <alignment horizontal="center" vertical="center" wrapText="1"/>
    </xf>
    <xf numFmtId="0" fontId="11" fillId="0" borderId="55" xfId="11" applyFont="1" applyBorder="1" applyAlignment="1">
      <alignment horizontal="left"/>
    </xf>
    <xf numFmtId="164" fontId="11" fillId="0" borderId="55" xfId="11" applyNumberFormat="1" applyFont="1" applyBorder="1" applyAlignment="1"/>
    <xf numFmtId="164" fontId="11" fillId="0" borderId="8" xfId="11" applyNumberFormat="1" applyFont="1" applyBorder="1" applyAlignment="1"/>
    <xf numFmtId="164" fontId="11" fillId="0" borderId="30" xfId="11" applyNumberFormat="1" applyFont="1" applyBorder="1" applyAlignment="1"/>
    <xf numFmtId="164" fontId="12" fillId="0" borderId="55" xfId="11" applyNumberFormat="1" applyFont="1" applyBorder="1" applyAlignment="1"/>
    <xf numFmtId="164" fontId="12" fillId="0" borderId="8" xfId="11" applyNumberFormat="1" applyFont="1" applyBorder="1" applyAlignment="1"/>
    <xf numFmtId="164" fontId="12" fillId="0" borderId="49" xfId="11" applyNumberFormat="1" applyFont="1" applyBorder="1" applyAlignment="1"/>
    <xf numFmtId="164" fontId="12" fillId="0" borderId="56" xfId="11" applyNumberFormat="1" applyFont="1" applyBorder="1" applyAlignment="1"/>
    <xf numFmtId="164" fontId="12" fillId="0" borderId="57" xfId="11" applyNumberFormat="1" applyFont="1" applyBorder="1" applyAlignment="1"/>
    <xf numFmtId="164" fontId="12" fillId="0" borderId="3" xfId="11" applyNumberFormat="1" applyFont="1" applyBorder="1" applyAlignment="1"/>
    <xf numFmtId="0" fontId="11" fillId="0" borderId="47" xfId="11" applyFont="1" applyBorder="1" applyAlignment="1">
      <alignment horizontal="left"/>
    </xf>
    <xf numFmtId="164" fontId="11" fillId="0" borderId="47" xfId="11" applyNumberFormat="1" applyFont="1" applyBorder="1" applyAlignment="1"/>
    <xf numFmtId="164" fontId="11" fillId="0" borderId="58" xfId="11" applyNumberFormat="1" applyFont="1" applyBorder="1" applyAlignment="1"/>
    <xf numFmtId="164" fontId="11" fillId="0" borderId="9" xfId="11" applyNumberFormat="1" applyFont="1" applyBorder="1" applyAlignment="1"/>
    <xf numFmtId="164" fontId="11" fillId="0" borderId="10" xfId="11" applyNumberFormat="1" applyFont="1" applyBorder="1" applyAlignment="1"/>
    <xf numFmtId="164" fontId="11" fillId="0" borderId="34" xfId="11" applyNumberFormat="1" applyFont="1" applyBorder="1" applyAlignment="1"/>
    <xf numFmtId="0" fontId="11" fillId="0" borderId="48" xfId="11" applyFont="1" applyBorder="1" applyAlignment="1">
      <alignment horizontal="left"/>
    </xf>
    <xf numFmtId="164" fontId="11" fillId="0" borderId="48" xfId="11" applyNumberFormat="1" applyFont="1" applyBorder="1" applyAlignment="1"/>
    <xf numFmtId="164" fontId="11" fillId="0" borderId="54" xfId="11" applyNumberFormat="1" applyFont="1" applyBorder="1" applyAlignment="1"/>
    <xf numFmtId="164" fontId="11" fillId="0" borderId="21" xfId="11" applyNumberFormat="1" applyFont="1" applyBorder="1" applyAlignment="1"/>
    <xf numFmtId="0" fontId="11" fillId="0" borderId="49" xfId="11" applyFont="1" applyBorder="1" applyAlignment="1">
      <alignment horizontal="left"/>
    </xf>
    <xf numFmtId="164" fontId="11" fillId="0" borderId="54" xfId="11" applyNumberFormat="1" applyFont="1" applyFill="1" applyBorder="1" applyAlignment="1"/>
    <xf numFmtId="0" fontId="11" fillId="0" borderId="47" xfId="11" applyFont="1" applyFill="1" applyBorder="1" applyAlignment="1">
      <alignment horizontal="left"/>
    </xf>
    <xf numFmtId="0" fontId="12" fillId="0" borderId="55" xfId="11" applyFont="1" applyBorder="1" applyAlignment="1">
      <alignment horizontal="left"/>
    </xf>
    <xf numFmtId="164" fontId="12" fillId="0" borderId="16" xfId="11" applyNumberFormat="1" applyFont="1" applyBorder="1" applyAlignment="1"/>
    <xf numFmtId="0" fontId="11" fillId="0" borderId="47" xfId="11" applyFont="1" applyBorder="1"/>
    <xf numFmtId="4" fontId="12" fillId="0" borderId="48" xfId="11" applyNumberFormat="1" applyFont="1" applyBorder="1" applyAlignment="1">
      <alignment horizontal="center" vertical="center"/>
    </xf>
    <xf numFmtId="4" fontId="12" fillId="0" borderId="54" xfId="11" applyNumberFormat="1" applyFont="1" applyFill="1" applyBorder="1" applyAlignment="1">
      <alignment horizontal="center" vertical="center" wrapText="1"/>
    </xf>
    <xf numFmtId="4" fontId="12" fillId="0" borderId="54" xfId="11" applyNumberFormat="1" applyFont="1" applyBorder="1" applyAlignment="1">
      <alignment horizontal="center" vertical="center" wrapText="1"/>
    </xf>
    <xf numFmtId="4" fontId="11" fillId="0" borderId="21" xfId="11" applyNumberFormat="1" applyFont="1" applyBorder="1" applyAlignment="1">
      <alignment horizontal="center" vertical="center" wrapText="1"/>
    </xf>
    <xf numFmtId="164" fontId="12" fillId="0" borderId="59" xfId="11" applyNumberFormat="1" applyFont="1" applyBorder="1" applyAlignment="1"/>
    <xf numFmtId="164" fontId="12" fillId="0" borderId="14" xfId="11" applyNumberFormat="1" applyFont="1" applyBorder="1" applyAlignment="1"/>
    <xf numFmtId="0" fontId="12" fillId="0" borderId="0" xfId="0" applyFont="1"/>
    <xf numFmtId="0" fontId="7" fillId="0" borderId="0" xfId="0" applyFont="1"/>
    <xf numFmtId="0" fontId="9" fillId="0" borderId="0" xfId="0" applyFont="1"/>
    <xf numFmtId="0" fontId="11" fillId="0" borderId="0" xfId="0" applyFont="1"/>
    <xf numFmtId="164" fontId="11" fillId="0" borderId="60" xfId="11" applyNumberFormat="1" applyFont="1" applyBorder="1" applyAlignment="1">
      <alignment horizontal="center" vertical="center"/>
    </xf>
    <xf numFmtId="164" fontId="11" fillId="0" borderId="51" xfId="11" applyNumberFormat="1" applyFont="1" applyFill="1" applyBorder="1" applyAlignment="1">
      <alignment horizontal="center" vertical="center" wrapText="1"/>
    </xf>
    <xf numFmtId="164" fontId="11" fillId="0" borderId="8" xfId="11" applyNumberFormat="1" applyFont="1" applyBorder="1" applyAlignment="1">
      <alignment horizontal="center" vertical="center" wrapText="1"/>
    </xf>
    <xf numFmtId="164" fontId="11" fillId="0" borderId="30" xfId="11" applyNumberFormat="1" applyFont="1" applyBorder="1" applyAlignment="1">
      <alignment horizontal="center" vertical="center" wrapText="1"/>
    </xf>
    <xf numFmtId="0" fontId="11" fillId="0" borderId="47" xfId="0" applyFont="1" applyBorder="1"/>
    <xf numFmtId="3" fontId="7" fillId="0" borderId="0" xfId="31" applyNumberFormat="1" applyFont="1" applyFill="1" applyAlignment="1">
      <alignment horizontal="right"/>
    </xf>
    <xf numFmtId="3" fontId="9" fillId="0" borderId="0" xfId="11" applyNumberFormat="1" applyFont="1" applyFill="1"/>
    <xf numFmtId="3" fontId="11" fillId="0" borderId="11" xfId="11" applyNumberFormat="1" applyFont="1" applyFill="1" applyBorder="1" applyAlignment="1">
      <alignment vertical="center"/>
    </xf>
    <xf numFmtId="3" fontId="11" fillId="0" borderId="0" xfId="11" applyNumberFormat="1" applyFont="1" applyFill="1" applyBorder="1" applyAlignment="1">
      <alignment vertical="center"/>
    </xf>
    <xf numFmtId="3" fontId="9" fillId="0" borderId="0" xfId="11" applyNumberFormat="1" applyFont="1" applyFill="1" applyBorder="1" applyAlignment="1">
      <alignment vertical="center"/>
    </xf>
    <xf numFmtId="3" fontId="11" fillId="0" borderId="47" xfId="11" applyNumberFormat="1" applyFont="1" applyFill="1" applyBorder="1" applyAlignment="1"/>
    <xf numFmtId="3" fontId="11" fillId="0" borderId="0" xfId="11" applyNumberFormat="1" applyFont="1" applyFill="1"/>
    <xf numFmtId="3" fontId="12" fillId="0" borderId="0" xfId="11" applyNumberFormat="1" applyFont="1" applyFill="1"/>
    <xf numFmtId="0" fontId="11" fillId="0" borderId="0" xfId="11" applyFont="1"/>
    <xf numFmtId="3" fontId="11" fillId="0" borderId="34" xfId="31" applyNumberFormat="1" applyFont="1" applyFill="1" applyBorder="1" applyAlignment="1" applyProtection="1">
      <alignment horizontal="center" vertical="center" wrapText="1"/>
    </xf>
    <xf numFmtId="3" fontId="12" fillId="0" borderId="61" xfId="11" applyNumberFormat="1" applyFont="1" applyFill="1" applyBorder="1" applyAlignment="1">
      <alignment vertical="center"/>
    </xf>
    <xf numFmtId="3" fontId="12" fillId="0" borderId="15" xfId="11" applyNumberFormat="1" applyFont="1" applyFill="1" applyBorder="1" applyAlignment="1">
      <alignment vertical="center"/>
    </xf>
    <xf numFmtId="3" fontId="12" fillId="0" borderId="21" xfId="11" applyNumberFormat="1" applyFont="1" applyFill="1" applyBorder="1" applyAlignment="1" applyProtection="1">
      <alignment vertical="center"/>
      <protection locked="0"/>
    </xf>
    <xf numFmtId="3" fontId="12" fillId="0" borderId="40" xfId="11" applyNumberFormat="1" applyFont="1" applyFill="1" applyBorder="1" applyAlignment="1" applyProtection="1">
      <alignment vertical="center"/>
      <protection locked="0"/>
    </xf>
    <xf numFmtId="3" fontId="12" fillId="0" borderId="54" xfId="11" applyNumberFormat="1" applyFont="1" applyFill="1" applyBorder="1" applyAlignment="1" applyProtection="1">
      <alignment vertical="center"/>
      <protection locked="0"/>
    </xf>
    <xf numFmtId="3" fontId="11" fillId="0" borderId="21" xfId="11" applyNumberFormat="1" applyFont="1" applyFill="1" applyBorder="1" applyAlignment="1">
      <alignment vertical="center"/>
    </xf>
    <xf numFmtId="3" fontId="21" fillId="0" borderId="62" xfId="11" quotePrefix="1" applyNumberFormat="1" applyFont="1" applyFill="1" applyBorder="1" applyAlignment="1">
      <alignment horizontal="left" vertical="center" indent="1"/>
    </xf>
    <xf numFmtId="3" fontId="21" fillId="0" borderId="42" xfId="11" quotePrefix="1" applyNumberFormat="1" applyFont="1" applyFill="1" applyBorder="1" applyAlignment="1">
      <alignment horizontal="left" vertical="center" indent="1"/>
    </xf>
    <xf numFmtId="3" fontId="21" fillId="0" borderId="22" xfId="11" applyNumberFormat="1" applyFont="1" applyFill="1" applyBorder="1" applyAlignment="1" applyProtection="1">
      <alignment vertical="center"/>
      <protection locked="0"/>
    </xf>
    <xf numFmtId="3" fontId="21" fillId="0" borderId="20" xfId="11" applyNumberFormat="1" applyFont="1" applyFill="1" applyBorder="1" applyAlignment="1" applyProtection="1">
      <alignment vertical="center"/>
      <protection locked="0"/>
    </xf>
    <xf numFmtId="3" fontId="21" fillId="0" borderId="56" xfId="11" applyNumberFormat="1" applyFont="1" applyFill="1" applyBorder="1" applyAlignment="1" applyProtection="1">
      <alignment vertical="center"/>
      <protection locked="0"/>
    </xf>
    <xf numFmtId="3" fontId="10" fillId="0" borderId="22" xfId="11" applyNumberFormat="1" applyFont="1" applyFill="1" applyBorder="1" applyAlignment="1">
      <alignment vertical="center"/>
    </xf>
    <xf numFmtId="3" fontId="12" fillId="0" borderId="62" xfId="11" applyNumberFormat="1" applyFont="1" applyFill="1" applyBorder="1" applyAlignment="1">
      <alignment vertical="center"/>
    </xf>
    <xf numFmtId="3" fontId="12" fillId="0" borderId="42" xfId="11" applyNumberFormat="1" applyFont="1" applyFill="1" applyBorder="1" applyAlignment="1">
      <alignment vertical="center"/>
    </xf>
    <xf numFmtId="3" fontId="12" fillId="0" borderId="22" xfId="11" applyNumberFormat="1" applyFont="1" applyFill="1" applyBorder="1" applyAlignment="1" applyProtection="1">
      <alignment vertical="center"/>
      <protection locked="0"/>
    </xf>
    <xf numFmtId="3" fontId="12" fillId="0" borderId="20" xfId="11" applyNumberFormat="1" applyFont="1" applyFill="1" applyBorder="1" applyAlignment="1" applyProtection="1">
      <alignment vertical="center"/>
      <protection locked="0"/>
    </xf>
    <xf numFmtId="3" fontId="12" fillId="0" borderId="56" xfId="11" applyNumberFormat="1" applyFont="1" applyFill="1" applyBorder="1" applyAlignment="1" applyProtection="1">
      <alignment vertical="center"/>
      <protection locked="0"/>
    </xf>
    <xf numFmtId="3" fontId="11" fillId="0" borderId="22" xfId="11" applyNumberFormat="1" applyFont="1" applyFill="1" applyBorder="1" applyAlignment="1">
      <alignment vertical="center"/>
    </xf>
    <xf numFmtId="3" fontId="11" fillId="0" borderId="58" xfId="11" applyNumberFormat="1" applyFont="1" applyFill="1" applyBorder="1" applyAlignment="1">
      <alignment vertical="center"/>
    </xf>
    <xf numFmtId="3" fontId="11" fillId="0" borderId="34" xfId="11" applyNumberFormat="1" applyFont="1" applyFill="1" applyBorder="1" applyAlignment="1">
      <alignment vertical="center"/>
    </xf>
    <xf numFmtId="3" fontId="11" fillId="0" borderId="13" xfId="11" applyNumberFormat="1" applyFont="1" applyFill="1" applyBorder="1" applyAlignment="1">
      <alignment vertical="center"/>
    </xf>
    <xf numFmtId="3" fontId="12" fillId="0" borderId="0" xfId="11" applyNumberFormat="1" applyFont="1" applyFill="1" applyAlignment="1">
      <alignment vertical="center"/>
    </xf>
    <xf numFmtId="3" fontId="12" fillId="0" borderId="62" xfId="11" applyNumberFormat="1" applyFont="1" applyFill="1" applyBorder="1" applyAlignment="1">
      <alignment horizontal="left" vertical="center"/>
    </xf>
    <xf numFmtId="3" fontId="12" fillId="0" borderId="62" xfId="11" applyNumberFormat="1" applyFont="1" applyFill="1" applyBorder="1" applyAlignment="1" applyProtection="1">
      <alignment vertical="center"/>
      <protection locked="0"/>
    </xf>
    <xf numFmtId="3" fontId="12" fillId="0" borderId="42" xfId="11" applyNumberFormat="1" applyFont="1" applyFill="1" applyBorder="1" applyAlignment="1" applyProtection="1">
      <alignment vertical="center"/>
      <protection locked="0"/>
    </xf>
    <xf numFmtId="3" fontId="12" fillId="0" borderId="63" xfId="11" applyNumberFormat="1" applyFont="1" applyFill="1" applyBorder="1" applyAlignment="1" applyProtection="1">
      <alignment vertical="center"/>
      <protection locked="0"/>
    </xf>
    <xf numFmtId="3" fontId="12" fillId="0" borderId="5" xfId="11" applyNumberFormat="1" applyFont="1" applyFill="1" applyBorder="1" applyAlignment="1" applyProtection="1">
      <alignment vertical="center"/>
      <protection locked="0"/>
    </xf>
    <xf numFmtId="3" fontId="12" fillId="0" borderId="24" xfId="11" applyNumberFormat="1" applyFont="1" applyFill="1" applyBorder="1" applyAlignment="1" applyProtection="1">
      <alignment vertical="center"/>
      <protection locked="0"/>
    </xf>
    <xf numFmtId="3" fontId="12" fillId="0" borderId="4" xfId="11" applyNumberFormat="1" applyFont="1" applyFill="1" applyBorder="1" applyAlignment="1" applyProtection="1">
      <alignment vertical="center"/>
      <protection locked="0"/>
    </xf>
    <xf numFmtId="3" fontId="12" fillId="0" borderId="14" xfId="11" applyNumberFormat="1" applyFont="1" applyFill="1" applyBorder="1" applyAlignment="1" applyProtection="1">
      <alignment vertical="center"/>
      <protection locked="0"/>
    </xf>
    <xf numFmtId="3" fontId="12" fillId="0" borderId="49" xfId="11" applyNumberFormat="1" applyFont="1" applyFill="1" applyBorder="1" applyAlignment="1" applyProtection="1">
      <alignment horizontal="left" wrapText="1" indent="1"/>
      <protection locked="0"/>
    </xf>
    <xf numFmtId="3" fontId="12" fillId="0" borderId="18" xfId="11" applyNumberFormat="1" applyFont="1" applyFill="1" applyBorder="1" applyAlignment="1" applyProtection="1">
      <protection locked="0"/>
    </xf>
    <xf numFmtId="3" fontId="12" fillId="0" borderId="62" xfId="11" applyNumberFormat="1" applyFont="1" applyFill="1" applyBorder="1" applyAlignment="1" applyProtection="1">
      <protection locked="0"/>
    </xf>
    <xf numFmtId="3" fontId="12" fillId="0" borderId="2" xfId="11" applyNumberFormat="1" applyFont="1" applyFill="1" applyBorder="1" applyAlignment="1" applyProtection="1">
      <protection locked="0"/>
    </xf>
    <xf numFmtId="3" fontId="12" fillId="0" borderId="56" xfId="11" applyNumberFormat="1" applyFont="1" applyFill="1" applyBorder="1" applyAlignment="1"/>
    <xf numFmtId="3" fontId="12" fillId="0" borderId="22" xfId="11" applyNumberFormat="1" applyFont="1" applyFill="1" applyBorder="1" applyAlignment="1"/>
    <xf numFmtId="3" fontId="11" fillId="0" borderId="9" xfId="11" applyNumberFormat="1" applyFont="1" applyFill="1" applyBorder="1" applyAlignment="1"/>
    <xf numFmtId="3" fontId="11" fillId="0" borderId="11" xfId="11" applyNumberFormat="1" applyFont="1" applyFill="1" applyBorder="1" applyAlignment="1"/>
    <xf numFmtId="3" fontId="11" fillId="0" borderId="10" xfId="11" applyNumberFormat="1" applyFont="1" applyFill="1" applyBorder="1" applyAlignment="1"/>
    <xf numFmtId="3" fontId="11" fillId="0" borderId="58" xfId="11" applyNumberFormat="1" applyFont="1" applyFill="1" applyBorder="1" applyAlignment="1"/>
    <xf numFmtId="3" fontId="11" fillId="0" borderId="34" xfId="11" applyNumberFormat="1" applyFont="1" applyFill="1" applyBorder="1" applyAlignment="1"/>
    <xf numFmtId="3" fontId="10" fillId="0" borderId="43" xfId="11" applyNumberFormat="1" applyFont="1" applyFill="1" applyBorder="1" applyAlignment="1">
      <alignment horizontal="right"/>
    </xf>
    <xf numFmtId="0" fontId="12" fillId="0" borderId="64" xfId="11" applyFont="1" applyBorder="1" applyAlignment="1">
      <alignment horizontal="center" wrapText="1"/>
    </xf>
    <xf numFmtId="0" fontId="12" fillId="0" borderId="65" xfId="11" applyFont="1" applyBorder="1" applyAlignment="1">
      <alignment horizontal="center" wrapText="1"/>
    </xf>
    <xf numFmtId="0" fontId="12" fillId="0" borderId="31" xfId="11" applyFont="1" applyBorder="1" applyAlignment="1">
      <alignment horizontal="center" vertical="center"/>
    </xf>
    <xf numFmtId="3" fontId="10" fillId="0" borderId="0" xfId="11" applyNumberFormat="1" applyFont="1" applyFill="1" applyAlignment="1">
      <alignment horizontal="right"/>
    </xf>
    <xf numFmtId="0" fontId="12" fillId="0" borderId="66" xfId="11" applyFont="1" applyBorder="1" applyAlignment="1">
      <alignment horizontal="center" wrapText="1"/>
    </xf>
    <xf numFmtId="0" fontId="11" fillId="0" borderId="34" xfId="11" applyFont="1" applyBorder="1" applyAlignment="1">
      <alignment horizontal="center" wrapText="1"/>
    </xf>
    <xf numFmtId="0" fontId="12" fillId="0" borderId="67" xfId="11" applyFont="1" applyBorder="1" applyAlignment="1">
      <alignment wrapText="1"/>
    </xf>
    <xf numFmtId="3" fontId="12" fillId="0" borderId="69" xfId="11" applyNumberFormat="1" applyFont="1" applyBorder="1" applyAlignment="1">
      <alignment wrapText="1"/>
    </xf>
    <xf numFmtId="3" fontId="11" fillId="0" borderId="70" xfId="11" applyNumberFormat="1" applyFont="1" applyBorder="1" applyAlignment="1">
      <alignment wrapText="1"/>
    </xf>
    <xf numFmtId="0" fontId="12" fillId="0" borderId="71" xfId="11" applyFont="1" applyBorder="1" applyAlignment="1">
      <alignment wrapText="1"/>
    </xf>
    <xf numFmtId="3" fontId="12" fillId="0" borderId="73" xfId="11" applyNumberFormat="1" applyFont="1" applyBorder="1" applyAlignment="1">
      <alignment wrapText="1"/>
    </xf>
    <xf numFmtId="3" fontId="11" fillId="0" borderId="74" xfId="11" applyNumberFormat="1" applyFont="1" applyBorder="1" applyAlignment="1">
      <alignment wrapText="1"/>
    </xf>
    <xf numFmtId="0" fontId="12" fillId="0" borderId="75" xfId="11" applyFont="1" applyFill="1" applyBorder="1" applyAlignment="1">
      <alignment wrapText="1"/>
    </xf>
    <xf numFmtId="3" fontId="12" fillId="0" borderId="76" xfId="11" applyNumberFormat="1" applyFont="1" applyBorder="1" applyAlignment="1">
      <alignment wrapText="1"/>
    </xf>
    <xf numFmtId="3" fontId="11" fillId="0" borderId="77" xfId="11" applyNumberFormat="1" applyFont="1" applyBorder="1" applyAlignment="1">
      <alignment wrapText="1"/>
    </xf>
    <xf numFmtId="0" fontId="11" fillId="0" borderId="64" xfId="11" applyFont="1" applyBorder="1" applyAlignment="1">
      <alignment wrapText="1"/>
    </xf>
    <xf numFmtId="3" fontId="11" fillId="0" borderId="10" xfId="11" applyNumberFormat="1" applyFont="1" applyBorder="1" applyAlignment="1">
      <alignment wrapText="1"/>
    </xf>
    <xf numFmtId="3" fontId="11" fillId="0" borderId="66" xfId="11" applyNumberFormat="1" applyFont="1" applyBorder="1" applyAlignment="1">
      <alignment wrapText="1"/>
    </xf>
    <xf numFmtId="3" fontId="11" fillId="0" borderId="34" xfId="11" applyNumberFormat="1" applyFont="1" applyBorder="1" applyAlignment="1">
      <alignment wrapText="1"/>
    </xf>
    <xf numFmtId="0" fontId="12" fillId="0" borderId="75" xfId="11" applyFont="1" applyBorder="1" applyAlignment="1">
      <alignment wrapText="1"/>
    </xf>
    <xf numFmtId="0" fontId="11" fillId="0" borderId="78" xfId="11" applyFont="1" applyBorder="1" applyAlignment="1">
      <alignment wrapText="1"/>
    </xf>
    <xf numFmtId="3" fontId="11" fillId="0" borderId="79" xfId="11" applyNumberFormat="1" applyFont="1" applyBorder="1" applyAlignment="1">
      <alignment wrapText="1"/>
    </xf>
    <xf numFmtId="3" fontId="11" fillId="0" borderId="35" xfId="11" applyNumberFormat="1" applyFont="1" applyBorder="1" applyAlignment="1">
      <alignment wrapText="1"/>
    </xf>
    <xf numFmtId="165" fontId="11" fillId="0" borderId="0" xfId="31" applyNumberFormat="1" applyFont="1" applyFill="1" applyBorder="1" applyAlignment="1" applyProtection="1">
      <alignment horizontal="center" vertical="center" wrapText="1"/>
    </xf>
    <xf numFmtId="165" fontId="11" fillId="0" borderId="0" xfId="31" applyNumberFormat="1" applyFont="1" applyFill="1" applyBorder="1" applyAlignment="1" applyProtection="1">
      <alignment horizontal="centerContinuous" vertical="center"/>
    </xf>
    <xf numFmtId="0" fontId="10" fillId="0" borderId="0" xfId="11" applyFont="1" applyFill="1" applyBorder="1" applyAlignment="1" applyProtection="1">
      <alignment horizontal="right"/>
    </xf>
    <xf numFmtId="3" fontId="12" fillId="0" borderId="0" xfId="11" applyNumberFormat="1" applyFont="1"/>
    <xf numFmtId="0" fontId="11" fillId="0" borderId="61" xfId="31" applyFont="1" applyFill="1" applyBorder="1" applyAlignment="1" applyProtection="1">
      <alignment horizontal="center" vertical="center" wrapText="1"/>
    </xf>
    <xf numFmtId="0" fontId="12" fillId="0" borderId="11" xfId="31" applyFont="1" applyFill="1" applyBorder="1" applyAlignment="1" applyProtection="1">
      <alignment horizontal="center" vertical="center"/>
    </xf>
    <xf numFmtId="0" fontId="12" fillId="0" borderId="61" xfId="31" applyFont="1" applyFill="1" applyBorder="1" applyAlignment="1" applyProtection="1">
      <alignment horizontal="center" vertical="center"/>
    </xf>
    <xf numFmtId="0" fontId="12" fillId="0" borderId="62" xfId="31" applyFont="1" applyFill="1" applyBorder="1" applyAlignment="1" applyProtection="1">
      <alignment horizontal="center" vertical="center"/>
    </xf>
    <xf numFmtId="0" fontId="12" fillId="0" borderId="63" xfId="31" applyFont="1" applyFill="1" applyBorder="1" applyAlignment="1" applyProtection="1">
      <alignment horizontal="center" vertical="center"/>
    </xf>
    <xf numFmtId="0" fontId="11" fillId="0" borderId="11" xfId="31" applyFont="1" applyFill="1" applyBorder="1" applyAlignment="1" applyProtection="1">
      <alignment horizontal="center" vertical="center"/>
    </xf>
    <xf numFmtId="0" fontId="12" fillId="0" borderId="34" xfId="11" applyFont="1" applyBorder="1" applyAlignment="1">
      <alignment horizontal="center" wrapText="1"/>
    </xf>
    <xf numFmtId="3" fontId="12" fillId="0" borderId="70" xfId="11" applyNumberFormat="1" applyFont="1" applyBorder="1" applyAlignment="1">
      <alignment wrapText="1"/>
    </xf>
    <xf numFmtId="3" fontId="12" fillId="0" borderId="74" xfId="11" applyNumberFormat="1" applyFont="1" applyBorder="1" applyAlignment="1">
      <alignment wrapText="1"/>
    </xf>
    <xf numFmtId="3" fontId="12" fillId="0" borderId="77" xfId="11" applyNumberFormat="1" applyFont="1" applyBorder="1" applyAlignment="1">
      <alignment wrapText="1"/>
    </xf>
    <xf numFmtId="0" fontId="11" fillId="0" borderId="54" xfId="31" applyFont="1" applyFill="1" applyBorder="1" applyAlignment="1" applyProtection="1">
      <alignment horizontal="center" vertical="center" wrapText="1"/>
    </xf>
    <xf numFmtId="0" fontId="12" fillId="0" borderId="58" xfId="31" applyFont="1" applyFill="1" applyBorder="1" applyAlignment="1" applyProtection="1">
      <alignment horizontal="center" vertical="center"/>
    </xf>
    <xf numFmtId="0" fontId="12" fillId="0" borderId="54" xfId="31" applyFont="1" applyFill="1" applyBorder="1" applyAlignment="1" applyProtection="1">
      <alignment horizontal="left" indent="1"/>
      <protection locked="0"/>
    </xf>
    <xf numFmtId="0" fontId="12" fillId="0" borderId="56" xfId="31" applyFont="1" applyFill="1" applyBorder="1" applyAlignment="1" applyProtection="1">
      <alignment horizontal="left" indent="1"/>
      <protection locked="0"/>
    </xf>
    <xf numFmtId="0" fontId="12" fillId="0" borderId="14" xfId="31" applyFont="1" applyFill="1" applyBorder="1" applyAlignment="1" applyProtection="1">
      <alignment horizontal="left" indent="1"/>
      <protection locked="0"/>
    </xf>
    <xf numFmtId="0" fontId="11" fillId="0" borderId="58" xfId="31" applyFont="1" applyFill="1" applyBorder="1" applyAlignment="1" applyProtection="1">
      <alignment horizontal="left" vertical="center" wrapText="1"/>
    </xf>
    <xf numFmtId="0" fontId="11" fillId="0" borderId="21" xfId="31" applyFont="1" applyFill="1" applyBorder="1" applyAlignment="1" applyProtection="1">
      <alignment horizontal="center" vertical="center" wrapText="1"/>
    </xf>
    <xf numFmtId="0" fontId="12" fillId="0" borderId="34" xfId="31" applyFont="1" applyFill="1" applyBorder="1" applyAlignment="1" applyProtection="1">
      <alignment horizontal="center" vertical="center"/>
    </xf>
    <xf numFmtId="167" fontId="12" fillId="0" borderId="21" xfId="1" applyNumberFormat="1" applyFont="1" applyFill="1" applyBorder="1" applyProtection="1">
      <protection locked="0"/>
    </xf>
    <xf numFmtId="167" fontId="12" fillId="0" borderId="22" xfId="1" applyNumberFormat="1" applyFont="1" applyFill="1" applyBorder="1" applyProtection="1">
      <protection locked="0"/>
    </xf>
    <xf numFmtId="167" fontId="12" fillId="0" borderId="24" xfId="1" applyNumberFormat="1" applyFont="1" applyFill="1" applyBorder="1" applyProtection="1">
      <protection locked="0"/>
    </xf>
    <xf numFmtId="167" fontId="11" fillId="0" borderId="34" xfId="1" applyNumberFormat="1" applyFont="1" applyFill="1" applyBorder="1" applyProtection="1"/>
    <xf numFmtId="0" fontId="12" fillId="0" borderId="80" xfId="11" applyFont="1" applyBorder="1" applyAlignment="1">
      <alignment horizontal="center" wrapText="1"/>
    </xf>
    <xf numFmtId="0" fontId="12" fillId="0" borderId="81" xfId="11" applyFont="1" applyBorder="1" applyAlignment="1">
      <alignment horizontal="center" wrapText="1"/>
    </xf>
    <xf numFmtId="0" fontId="12" fillId="0" borderId="82" xfId="11" applyFont="1" applyBorder="1" applyAlignment="1">
      <alignment horizontal="center" wrapText="1"/>
    </xf>
    <xf numFmtId="0" fontId="11" fillId="0" borderId="65" xfId="11" applyFont="1" applyBorder="1" applyAlignment="1">
      <alignment horizontal="center" wrapText="1"/>
    </xf>
    <xf numFmtId="0" fontId="11" fillId="0" borderId="83" xfId="11" applyFont="1" applyBorder="1" applyAlignment="1">
      <alignment horizontal="center" wrapText="1"/>
    </xf>
    <xf numFmtId="3" fontId="12" fillId="0" borderId="84" xfId="11" applyNumberFormat="1" applyFont="1" applyBorder="1" applyAlignment="1">
      <alignment wrapText="1"/>
    </xf>
    <xf numFmtId="3" fontId="12" fillId="0" borderId="22" xfId="11" applyNumberFormat="1" applyFont="1" applyFill="1" applyBorder="1" applyAlignment="1" applyProtection="1">
      <alignment horizontal="left" vertical="center" wrapText="1" indent="1"/>
      <protection locked="0"/>
    </xf>
    <xf numFmtId="3" fontId="12" fillId="0" borderId="16" xfId="11" applyNumberFormat="1" applyFont="1" applyFill="1" applyBorder="1" applyAlignment="1" applyProtection="1">
      <alignment vertical="center" wrapText="1"/>
      <protection locked="0"/>
    </xf>
    <xf numFmtId="3" fontId="12" fillId="0" borderId="60" xfId="11" applyNumberFormat="1" applyFont="1" applyFill="1" applyBorder="1" applyAlignment="1" applyProtection="1">
      <alignment vertical="center" wrapText="1"/>
      <protection locked="0"/>
    </xf>
    <xf numFmtId="3" fontId="12" fillId="0" borderId="55" xfId="11" applyNumberFormat="1" applyFont="1" applyFill="1" applyBorder="1" applyAlignment="1" applyProtection="1">
      <alignment vertical="center" wrapText="1"/>
      <protection locked="0"/>
    </xf>
    <xf numFmtId="3" fontId="12" fillId="0" borderId="22" xfId="11" applyNumberFormat="1" applyFont="1" applyFill="1" applyBorder="1" applyAlignment="1" applyProtection="1">
      <alignment vertical="center" wrapText="1"/>
      <protection locked="0"/>
    </xf>
    <xf numFmtId="1" fontId="12" fillId="0" borderId="2" xfId="11" applyNumberFormat="1" applyFont="1" applyFill="1" applyBorder="1" applyAlignment="1" applyProtection="1">
      <alignment horizontal="center" vertical="center" wrapText="1"/>
      <protection locked="0"/>
    </xf>
    <xf numFmtId="3" fontId="12" fillId="0" borderId="62" xfId="11" applyNumberFormat="1" applyFont="1" applyFill="1" applyBorder="1" applyAlignment="1">
      <alignment horizontal="center" vertical="center" wrapText="1"/>
    </xf>
    <xf numFmtId="3" fontId="11" fillId="0" borderId="10" xfId="11" applyNumberFormat="1" applyFont="1" applyFill="1" applyBorder="1" applyAlignment="1" applyProtection="1">
      <alignment vertical="center" wrapText="1"/>
    </xf>
    <xf numFmtId="3" fontId="11" fillId="0" borderId="11" xfId="11" applyNumberFormat="1" applyFont="1" applyFill="1" applyBorder="1" applyAlignment="1" applyProtection="1">
      <alignment vertical="center" wrapText="1"/>
    </xf>
    <xf numFmtId="3" fontId="11" fillId="0" borderId="10" xfId="11" applyNumberFormat="1" applyFont="1" applyFill="1" applyBorder="1" applyAlignment="1" applyProtection="1">
      <alignment horizontal="center" vertical="center" wrapText="1"/>
    </xf>
    <xf numFmtId="3" fontId="11" fillId="0" borderId="46" xfId="11" applyNumberFormat="1" applyFont="1" applyFill="1" applyBorder="1" applyAlignment="1">
      <alignment horizontal="center" vertical="center" wrapText="1"/>
    </xf>
    <xf numFmtId="3" fontId="11" fillId="0" borderId="50" xfId="11" applyNumberFormat="1" applyFont="1" applyFill="1" applyBorder="1" applyAlignment="1">
      <alignment horizontal="center" vertical="center" wrapText="1"/>
    </xf>
    <xf numFmtId="3" fontId="11" fillId="0" borderId="85" xfId="11" applyNumberFormat="1" applyFont="1" applyFill="1" applyBorder="1" applyAlignment="1">
      <alignment horizontal="center" vertical="center" wrapText="1"/>
    </xf>
    <xf numFmtId="3" fontId="11" fillId="0" borderId="86" xfId="11" applyNumberFormat="1" applyFont="1" applyFill="1" applyBorder="1" applyAlignment="1">
      <alignment horizontal="center" vertical="center" wrapText="1"/>
    </xf>
    <xf numFmtId="3" fontId="11" fillId="0" borderId="58" xfId="11" applyNumberFormat="1" applyFont="1" applyFill="1" applyBorder="1" applyAlignment="1">
      <alignment horizontal="center" vertical="center" wrapText="1"/>
    </xf>
    <xf numFmtId="3" fontId="11" fillId="0" borderId="11" xfId="11" applyNumberFormat="1" applyFont="1" applyFill="1" applyBorder="1" applyAlignment="1">
      <alignment horizontal="center" vertical="center" wrapText="1"/>
    </xf>
    <xf numFmtId="3" fontId="7" fillId="0" borderId="0" xfId="11" applyNumberFormat="1" applyFont="1" applyFill="1" applyAlignment="1">
      <alignment vertical="center" wrapText="1"/>
    </xf>
    <xf numFmtId="3" fontId="7" fillId="0" borderId="0" xfId="11" applyNumberFormat="1" applyFont="1" applyFill="1" applyAlignment="1">
      <alignment horizontal="center" vertical="center" wrapText="1"/>
    </xf>
    <xf numFmtId="3" fontId="12" fillId="0" borderId="0" xfId="11" applyNumberFormat="1" applyFont="1" applyFill="1" applyAlignment="1">
      <alignment vertical="center" wrapText="1"/>
    </xf>
    <xf numFmtId="3" fontId="11" fillId="0" borderId="34" xfId="11" applyNumberFormat="1" applyFont="1" applyFill="1" applyBorder="1" applyAlignment="1">
      <alignment horizontal="center" vertical="center" wrapText="1"/>
    </xf>
    <xf numFmtId="3" fontId="11" fillId="0" borderId="34" xfId="11" applyNumberFormat="1" applyFont="1" applyFill="1" applyBorder="1" applyAlignment="1">
      <alignment horizontal="left" vertical="center" wrapText="1" indent="1"/>
    </xf>
    <xf numFmtId="3" fontId="11" fillId="0" borderId="9" xfId="11" applyNumberFormat="1" applyFont="1" applyFill="1" applyBorder="1" applyAlignment="1" applyProtection="1">
      <alignment vertical="center" wrapText="1"/>
    </xf>
    <xf numFmtId="3" fontId="11" fillId="0" borderId="58" xfId="11" applyNumberFormat="1" applyFont="1" applyFill="1" applyBorder="1" applyAlignment="1" applyProtection="1">
      <alignment vertical="center" wrapText="1"/>
    </xf>
    <xf numFmtId="3" fontId="11" fillId="0" borderId="11" xfId="11" applyNumberFormat="1" applyFont="1" applyFill="1" applyBorder="1" applyAlignment="1">
      <alignment horizontal="center" vertical="center"/>
    </xf>
    <xf numFmtId="3" fontId="11" fillId="0" borderId="47" xfId="31" applyNumberFormat="1" applyFont="1" applyFill="1" applyBorder="1" applyAlignment="1" applyProtection="1">
      <alignment horizontal="center" vertical="center" wrapText="1"/>
    </xf>
    <xf numFmtId="3" fontId="11" fillId="0" borderId="47" xfId="11" applyNumberFormat="1" applyFont="1" applyFill="1" applyBorder="1" applyAlignment="1" applyProtection="1">
      <alignment vertical="center" wrapText="1"/>
    </xf>
    <xf numFmtId="3" fontId="11" fillId="0" borderId="87" xfId="11" applyNumberFormat="1" applyFont="1" applyFill="1" applyBorder="1" applyAlignment="1">
      <alignment horizontal="center" vertical="center"/>
    </xf>
    <xf numFmtId="3" fontId="11" fillId="0" borderId="29" xfId="11" applyNumberFormat="1" applyFont="1" applyFill="1" applyBorder="1" applyAlignment="1">
      <alignment horizontal="center" vertical="center" wrapText="1"/>
    </xf>
    <xf numFmtId="3" fontId="12" fillId="0" borderId="17" xfId="11" applyNumberFormat="1" applyFont="1" applyFill="1" applyBorder="1" applyAlignment="1" applyProtection="1">
      <alignment vertical="center" wrapText="1"/>
      <protection locked="0"/>
    </xf>
    <xf numFmtId="3" fontId="12" fillId="0" borderId="49" xfId="11" applyNumberFormat="1" applyFont="1" applyFill="1" applyBorder="1" applyAlignment="1" applyProtection="1">
      <alignment vertical="center" wrapText="1"/>
      <protection locked="0"/>
    </xf>
    <xf numFmtId="3" fontId="12" fillId="0" borderId="56" xfId="11" applyNumberFormat="1" applyFont="1" applyFill="1" applyBorder="1" applyAlignment="1" applyProtection="1">
      <alignment vertical="center" wrapText="1"/>
      <protection locked="0"/>
    </xf>
    <xf numFmtId="3" fontId="12" fillId="0" borderId="2" xfId="11" applyNumberFormat="1" applyFont="1" applyFill="1" applyBorder="1" applyAlignment="1" applyProtection="1">
      <alignment vertical="center" wrapText="1"/>
      <protection locked="0"/>
    </xf>
    <xf numFmtId="3" fontId="12" fillId="0" borderId="18" xfId="11" applyNumberFormat="1" applyFont="1" applyFill="1" applyBorder="1" applyAlignment="1" applyProtection="1">
      <alignment vertical="center" wrapText="1"/>
      <protection locked="0"/>
    </xf>
    <xf numFmtId="3" fontId="11" fillId="0" borderId="22" xfId="11" applyNumberFormat="1" applyFont="1" applyFill="1" applyBorder="1" applyAlignment="1">
      <alignment vertical="center" wrapText="1"/>
    </xf>
    <xf numFmtId="3" fontId="11" fillId="0" borderId="34" xfId="11" applyNumberFormat="1" applyFont="1" applyFill="1" applyBorder="1" applyAlignment="1" applyProtection="1">
      <alignment horizontal="left" vertical="center" wrapText="1" indent="1"/>
      <protection locked="0"/>
    </xf>
    <xf numFmtId="3" fontId="12" fillId="0" borderId="21" xfId="11" applyNumberFormat="1" applyFont="1" applyFill="1" applyBorder="1" applyAlignment="1" applyProtection="1">
      <alignment vertical="center" wrapText="1"/>
      <protection locked="0"/>
    </xf>
    <xf numFmtId="3" fontId="11" fillId="0" borderId="21" xfId="11" applyNumberFormat="1" applyFont="1" applyFill="1" applyBorder="1" applyAlignment="1">
      <alignment vertical="center" wrapText="1"/>
    </xf>
    <xf numFmtId="3" fontId="11" fillId="0" borderId="41" xfId="11" applyNumberFormat="1" applyFont="1" applyFill="1" applyBorder="1" applyAlignment="1" applyProtection="1">
      <alignment horizontal="left" vertical="center" wrapText="1" indent="1"/>
      <protection locked="0"/>
    </xf>
    <xf numFmtId="3" fontId="11" fillId="0" borderId="34" xfId="11" applyNumberFormat="1" applyFont="1" applyFill="1" applyBorder="1" applyAlignment="1" applyProtection="1">
      <alignment horizontal="center" vertical="center" wrapText="1"/>
    </xf>
    <xf numFmtId="3" fontId="11" fillId="0" borderId="34" xfId="11" applyNumberFormat="1" applyFont="1" applyFill="1" applyBorder="1" applyAlignment="1" applyProtection="1">
      <alignment vertical="center" wrapText="1"/>
      <protection locked="0"/>
    </xf>
    <xf numFmtId="3" fontId="11" fillId="0" borderId="47" xfId="11" applyNumberFormat="1" applyFont="1" applyFill="1" applyBorder="1" applyAlignment="1" applyProtection="1">
      <alignment vertical="center" wrapText="1"/>
      <protection locked="0"/>
    </xf>
    <xf numFmtId="3" fontId="11" fillId="0" borderId="58" xfId="11" applyNumberFormat="1" applyFont="1" applyFill="1" applyBorder="1" applyAlignment="1" applyProtection="1">
      <alignment vertical="center" wrapText="1"/>
      <protection locked="0"/>
    </xf>
    <xf numFmtId="3" fontId="11" fillId="0" borderId="11" xfId="11" applyNumberFormat="1" applyFont="1" applyFill="1" applyBorder="1" applyAlignment="1" applyProtection="1">
      <alignment vertical="center" wrapText="1"/>
      <protection locked="0"/>
    </xf>
    <xf numFmtId="3" fontId="11" fillId="0" borderId="10" xfId="11" applyNumberFormat="1" applyFont="1" applyFill="1" applyBorder="1" applyAlignment="1" applyProtection="1">
      <alignment vertical="center" wrapText="1"/>
      <protection locked="0"/>
    </xf>
    <xf numFmtId="3" fontId="11" fillId="0" borderId="9" xfId="11" applyNumberFormat="1" applyFont="1" applyFill="1" applyBorder="1" applyAlignment="1" applyProtection="1">
      <alignment vertical="center" wrapText="1"/>
      <protection locked="0"/>
    </xf>
    <xf numFmtId="3" fontId="12" fillId="0" borderId="21" xfId="11" applyNumberFormat="1" applyFont="1" applyFill="1" applyBorder="1" applyAlignment="1">
      <alignment horizontal="center" vertical="center" wrapText="1"/>
    </xf>
    <xf numFmtId="3" fontId="12" fillId="0" borderId="21" xfId="11" applyNumberFormat="1" applyFont="1" applyFill="1" applyBorder="1" applyAlignment="1" applyProtection="1">
      <alignment horizontal="left" vertical="center" wrapText="1" indent="1"/>
      <protection locked="0"/>
    </xf>
    <xf numFmtId="1" fontId="12" fillId="0" borderId="54" xfId="11" applyNumberFormat="1" applyFont="1" applyFill="1" applyBorder="1" applyAlignment="1" applyProtection="1">
      <alignment horizontal="center" vertical="center" wrapText="1"/>
      <protection locked="0"/>
    </xf>
    <xf numFmtId="3" fontId="12" fillId="0" borderId="48" xfId="11" applyNumberFormat="1" applyFont="1" applyFill="1" applyBorder="1" applyAlignment="1" applyProtection="1">
      <alignment vertical="center" wrapText="1"/>
      <protection locked="0"/>
    </xf>
    <xf numFmtId="3" fontId="12" fillId="0" borderId="61" xfId="11" applyNumberFormat="1" applyFont="1" applyFill="1" applyBorder="1" applyAlignment="1" applyProtection="1">
      <alignment vertical="center" wrapText="1"/>
      <protection locked="0"/>
    </xf>
    <xf numFmtId="3" fontId="12" fillId="0" borderId="38" xfId="11" applyNumberFormat="1" applyFont="1" applyFill="1" applyBorder="1" applyAlignment="1" applyProtection="1">
      <alignment vertical="center" wrapText="1"/>
      <protection locked="0"/>
    </xf>
    <xf numFmtId="3" fontId="12" fillId="0" borderId="39" xfId="11" applyNumberFormat="1" applyFont="1" applyFill="1" applyBorder="1" applyAlignment="1" applyProtection="1">
      <alignment vertical="center" wrapText="1"/>
      <protection locked="0"/>
    </xf>
    <xf numFmtId="165" fontId="11" fillId="0" borderId="41" xfId="11" applyNumberFormat="1" applyFont="1" applyFill="1" applyBorder="1" applyAlignment="1" applyProtection="1">
      <alignment horizontal="left" vertical="center" wrapText="1" indent="1"/>
      <protection locked="0"/>
    </xf>
    <xf numFmtId="3" fontId="12" fillId="0" borderId="24" xfId="11" applyNumberFormat="1" applyFont="1" applyFill="1" applyBorder="1" applyAlignment="1">
      <alignment horizontal="center" vertical="center" wrapText="1"/>
    </xf>
    <xf numFmtId="3" fontId="12" fillId="0" borderId="5" xfId="11" applyNumberFormat="1" applyFont="1" applyFill="1" applyBorder="1" applyAlignment="1" applyProtection="1">
      <alignment horizontal="left" vertical="center" wrapText="1" indent="1"/>
      <protection locked="0"/>
    </xf>
    <xf numFmtId="1" fontId="12" fillId="0" borderId="24" xfId="11" applyNumberFormat="1" applyFont="1" applyFill="1" applyBorder="1" applyAlignment="1" applyProtection="1">
      <alignment horizontal="center" vertical="center" wrapText="1"/>
      <protection locked="0"/>
    </xf>
    <xf numFmtId="3" fontId="12" fillId="0" borderId="24" xfId="11" applyNumberFormat="1" applyFont="1" applyFill="1" applyBorder="1" applyAlignment="1" applyProtection="1">
      <alignment vertical="center" wrapText="1"/>
      <protection locked="0"/>
    </xf>
    <xf numFmtId="3" fontId="12" fillId="0" borderId="63" xfId="11" applyNumberFormat="1" applyFont="1" applyFill="1" applyBorder="1" applyAlignment="1" applyProtection="1">
      <alignment vertical="center" wrapText="1"/>
      <protection locked="0"/>
    </xf>
    <xf numFmtId="3" fontId="12" fillId="0" borderId="25" xfId="11" applyNumberFormat="1" applyFont="1" applyFill="1" applyBorder="1" applyAlignment="1" applyProtection="1">
      <alignment vertical="center" wrapText="1"/>
      <protection locked="0"/>
    </xf>
    <xf numFmtId="3" fontId="12" fillId="0" borderId="26" xfId="11" applyNumberFormat="1" applyFont="1" applyFill="1" applyBorder="1" applyAlignment="1" applyProtection="1">
      <alignment vertical="center" wrapText="1"/>
      <protection locked="0"/>
    </xf>
    <xf numFmtId="3" fontId="11" fillId="0" borderId="88" xfId="11" applyNumberFormat="1" applyFont="1" applyFill="1" applyBorder="1" applyAlignment="1">
      <alignment vertical="center" wrapText="1"/>
    </xf>
    <xf numFmtId="3" fontId="11" fillId="3" borderId="58" xfId="11" applyNumberFormat="1" applyFont="1" applyFill="1" applyBorder="1" applyAlignment="1" applyProtection="1">
      <alignment horizontal="center" vertical="center" wrapText="1"/>
    </xf>
    <xf numFmtId="3" fontId="11" fillId="0" borderId="34" xfId="11" applyNumberFormat="1" applyFont="1" applyFill="1" applyBorder="1" applyAlignment="1">
      <alignment vertical="center" wrapText="1"/>
    </xf>
    <xf numFmtId="3" fontId="21" fillId="0" borderId="20" xfId="11" applyNumberFormat="1" applyFont="1" applyFill="1" applyBorder="1" applyAlignment="1" applyProtection="1">
      <alignment vertical="center" wrapText="1"/>
      <protection locked="0"/>
    </xf>
    <xf numFmtId="3" fontId="12" fillId="0" borderId="20" xfId="11" applyNumberFormat="1" applyFont="1" applyFill="1" applyBorder="1" applyAlignment="1" applyProtection="1">
      <alignment vertical="center" wrapText="1"/>
      <protection locked="0"/>
    </xf>
    <xf numFmtId="3" fontId="12" fillId="0" borderId="40" xfId="11" applyNumberFormat="1" applyFont="1" applyFill="1" applyBorder="1" applyAlignment="1" applyProtection="1">
      <alignment vertical="center" wrapText="1"/>
      <protection locked="0"/>
    </xf>
    <xf numFmtId="3" fontId="11" fillId="0" borderId="9" xfId="11" applyNumberFormat="1" applyFont="1" applyFill="1" applyBorder="1" applyAlignment="1">
      <alignment vertical="center" wrapText="1"/>
    </xf>
    <xf numFmtId="49" fontId="11" fillId="0" borderId="11" xfId="11" applyNumberFormat="1" applyFont="1" applyFill="1" applyBorder="1" applyAlignment="1">
      <alignment horizontal="center" vertical="center" wrapText="1"/>
    </xf>
    <xf numFmtId="49" fontId="12" fillId="0" borderId="63" xfId="11" applyNumberFormat="1" applyFont="1" applyFill="1" applyBorder="1" applyAlignment="1">
      <alignment horizontal="center" vertical="center" wrapText="1"/>
    </xf>
    <xf numFmtId="3" fontId="21" fillId="0" borderId="20" xfId="11" applyNumberFormat="1" applyFont="1" applyFill="1" applyBorder="1" applyAlignment="1" applyProtection="1">
      <alignment horizontal="left" vertical="center" wrapText="1" indent="2"/>
      <protection locked="0"/>
    </xf>
    <xf numFmtId="3" fontId="12" fillId="0" borderId="20" xfId="11" applyNumberFormat="1" applyFont="1" applyFill="1" applyBorder="1" applyAlignment="1" applyProtection="1">
      <alignment horizontal="left" vertical="center" wrapText="1" indent="1"/>
      <protection locked="0"/>
    </xf>
    <xf numFmtId="49" fontId="12" fillId="0" borderId="62" xfId="11" applyNumberFormat="1" applyFont="1" applyFill="1" applyBorder="1" applyAlignment="1">
      <alignment horizontal="center" vertical="center" wrapText="1"/>
    </xf>
    <xf numFmtId="3" fontId="12" fillId="0" borderId="40" xfId="11" applyNumberFormat="1" applyFont="1" applyFill="1" applyBorder="1" applyAlignment="1" applyProtection="1">
      <alignment horizontal="left" vertical="center" wrapText="1" indent="1"/>
      <protection locked="0"/>
    </xf>
    <xf numFmtId="49" fontId="12" fillId="0" borderId="61" xfId="11" applyNumberFormat="1" applyFont="1" applyFill="1" applyBorder="1" applyAlignment="1">
      <alignment horizontal="center" vertical="center" wrapText="1"/>
    </xf>
    <xf numFmtId="3" fontId="10" fillId="0" borderId="0" xfId="11" applyNumberFormat="1" applyFont="1" applyFill="1" applyAlignment="1">
      <alignment horizontal="right" vertical="center"/>
    </xf>
    <xf numFmtId="3" fontId="21" fillId="0" borderId="0" xfId="11" applyNumberFormat="1" applyFont="1" applyFill="1" applyAlignment="1">
      <alignment vertical="center" wrapText="1"/>
    </xf>
    <xf numFmtId="3" fontId="21" fillId="0" borderId="0" xfId="11" applyNumberFormat="1" applyFont="1" applyFill="1" applyAlignment="1">
      <alignment horizontal="center" vertical="center" wrapText="1"/>
    </xf>
    <xf numFmtId="3" fontId="11" fillId="0" borderId="9" xfId="11" applyNumberFormat="1" applyFont="1" applyFill="1" applyBorder="1" applyAlignment="1">
      <alignment horizontal="center" vertical="center" wrapText="1"/>
    </xf>
    <xf numFmtId="3" fontId="11" fillId="0" borderId="10" xfId="11" applyNumberFormat="1" applyFont="1" applyFill="1" applyBorder="1" applyAlignment="1">
      <alignment horizontal="center" vertical="center" wrapText="1"/>
    </xf>
    <xf numFmtId="3" fontId="11" fillId="0" borderId="10" xfId="11" applyNumberFormat="1" applyFont="1" applyFill="1" applyBorder="1" applyAlignment="1">
      <alignment vertical="center" wrapText="1"/>
    </xf>
    <xf numFmtId="3" fontId="11" fillId="0" borderId="26" xfId="33" applyNumberFormat="1" applyFont="1" applyFill="1" applyBorder="1" applyAlignment="1" applyProtection="1">
      <alignment vertical="center"/>
      <protection locked="0"/>
    </xf>
    <xf numFmtId="3" fontId="11" fillId="0" borderId="18" xfId="33" applyNumberFormat="1" applyFont="1" applyFill="1" applyBorder="1" applyAlignment="1" applyProtection="1">
      <alignment vertical="center"/>
      <protection locked="0"/>
    </xf>
    <xf numFmtId="3" fontId="11" fillId="0" borderId="22" xfId="33" applyNumberFormat="1" applyFont="1" applyFill="1" applyBorder="1" applyAlignment="1" applyProtection="1">
      <alignment vertical="center"/>
    </xf>
    <xf numFmtId="3" fontId="11" fillId="0" borderId="17" xfId="33" applyNumberFormat="1" applyFont="1" applyFill="1" applyBorder="1" applyAlignment="1" applyProtection="1">
      <alignment vertical="center"/>
      <protection locked="0"/>
    </xf>
    <xf numFmtId="3" fontId="12" fillId="0" borderId="18" xfId="33" applyNumberFormat="1" applyFont="1" applyFill="1" applyBorder="1" applyAlignment="1" applyProtection="1">
      <alignment vertical="center"/>
      <protection locked="0"/>
    </xf>
    <xf numFmtId="3" fontId="12" fillId="0" borderId="62" xfId="33" applyNumberFormat="1" applyFont="1" applyFill="1" applyBorder="1" applyAlignment="1" applyProtection="1">
      <alignment horizontal="left" vertical="center" indent="1"/>
    </xf>
    <xf numFmtId="3" fontId="11" fillId="0" borderId="21" xfId="33" applyNumberFormat="1" applyFont="1" applyFill="1" applyBorder="1" applyAlignment="1" applyProtection="1">
      <alignment vertical="center"/>
    </xf>
    <xf numFmtId="3" fontId="11" fillId="0" borderId="39" xfId="33" applyNumberFormat="1" applyFont="1" applyFill="1" applyBorder="1" applyAlignment="1" applyProtection="1">
      <alignment vertical="center"/>
      <protection locked="0"/>
    </xf>
    <xf numFmtId="3" fontId="12" fillId="0" borderId="39" xfId="33" applyNumberFormat="1" applyFont="1" applyFill="1" applyBorder="1" applyAlignment="1" applyProtection="1">
      <alignment vertical="center"/>
      <protection locked="0"/>
    </xf>
    <xf numFmtId="3" fontId="12" fillId="0" borderId="61" xfId="33" applyNumberFormat="1" applyFont="1" applyFill="1" applyBorder="1" applyAlignment="1" applyProtection="1">
      <alignment horizontal="left" vertical="center" indent="1"/>
    </xf>
    <xf numFmtId="3" fontId="12" fillId="0" borderId="86" xfId="33" applyNumberFormat="1" applyFont="1" applyFill="1" applyBorder="1" applyAlignment="1" applyProtection="1">
      <alignment horizontal="left" vertical="center" indent="1"/>
    </xf>
    <xf numFmtId="3" fontId="11" fillId="0" borderId="51" xfId="33" applyNumberFormat="1" applyFont="1" applyFill="1" applyBorder="1" applyAlignment="1" applyProtection="1">
      <alignment horizontal="center" vertical="center"/>
    </xf>
    <xf numFmtId="3" fontId="11" fillId="0" borderId="11" xfId="33" applyNumberFormat="1" applyFont="1" applyFill="1" applyBorder="1" applyAlignment="1" applyProtection="1">
      <alignment horizontal="center" vertical="center" wrapText="1"/>
    </xf>
    <xf numFmtId="3" fontId="11" fillId="0" borderId="9" xfId="33" applyNumberFormat="1" applyFont="1" applyFill="1" applyBorder="1" applyAlignment="1" applyProtection="1">
      <alignment horizontal="center" vertical="center"/>
    </xf>
    <xf numFmtId="3" fontId="11" fillId="0" borderId="34" xfId="33" applyNumberFormat="1" applyFont="1" applyFill="1" applyBorder="1" applyAlignment="1" applyProtection="1">
      <alignment horizontal="center" vertical="center"/>
    </xf>
    <xf numFmtId="3" fontId="11" fillId="0" borderId="9" xfId="33" applyNumberFormat="1" applyFont="1" applyFill="1" applyBorder="1" applyAlignment="1" applyProtection="1">
      <alignment vertical="center"/>
    </xf>
    <xf numFmtId="3" fontId="11" fillId="0" borderId="9" xfId="33" applyNumberFormat="1" applyFont="1" applyFill="1" applyBorder="1" applyAlignment="1" applyProtection="1">
      <alignment horizontal="left" indent="1"/>
      <protection locked="0"/>
    </xf>
    <xf numFmtId="3" fontId="11" fillId="0" borderId="52" xfId="11" applyNumberFormat="1" applyFont="1" applyFill="1" applyBorder="1" applyAlignment="1">
      <alignment horizontal="center" vertical="center"/>
    </xf>
    <xf numFmtId="3" fontId="11" fillId="0" borderId="85" xfId="11" applyNumberFormat="1" applyFont="1" applyFill="1" applyBorder="1" applyAlignment="1">
      <alignment horizontal="center" vertical="center"/>
    </xf>
    <xf numFmtId="3" fontId="11" fillId="0" borderId="52" xfId="33" applyNumberFormat="1" applyFont="1" applyFill="1" applyBorder="1" applyAlignment="1" applyProtection="1">
      <alignment horizontal="center" vertical="center"/>
    </xf>
    <xf numFmtId="3" fontId="11" fillId="0" borderId="11" xfId="33" applyNumberFormat="1" applyFont="1" applyFill="1" applyBorder="1" applyAlignment="1" applyProtection="1">
      <alignment horizontal="left" vertical="center" indent="1"/>
    </xf>
    <xf numFmtId="3" fontId="11" fillId="0" borderId="58" xfId="33" applyNumberFormat="1" applyFont="1" applyFill="1" applyBorder="1" applyAlignment="1" applyProtection="1">
      <alignment vertical="center"/>
    </xf>
    <xf numFmtId="3" fontId="11" fillId="0" borderId="11" xfId="33" applyNumberFormat="1" applyFont="1" applyFill="1" applyBorder="1" applyAlignment="1" applyProtection="1">
      <alignment vertical="center"/>
    </xf>
    <xf numFmtId="3" fontId="11" fillId="0" borderId="10" xfId="33" applyNumberFormat="1" applyFont="1" applyFill="1" applyBorder="1" applyAlignment="1" applyProtection="1">
      <alignment vertical="center"/>
    </xf>
    <xf numFmtId="3" fontId="11" fillId="0" borderId="12" xfId="33" applyNumberFormat="1" applyFont="1" applyFill="1" applyBorder="1" applyAlignment="1" applyProtection="1">
      <alignment vertical="center"/>
    </xf>
    <xf numFmtId="3" fontId="11" fillId="0" borderId="86" xfId="33" applyNumberFormat="1" applyFont="1" applyFill="1" applyBorder="1" applyAlignment="1" applyProtection="1">
      <alignment horizontal="left" vertical="center" indent="1"/>
    </xf>
    <xf numFmtId="3" fontId="11" fillId="0" borderId="34" xfId="33" applyNumberFormat="1" applyFont="1" applyFill="1" applyBorder="1" applyAlignment="1" applyProtection="1">
      <alignment vertical="center"/>
    </xf>
    <xf numFmtId="3" fontId="11" fillId="0" borderId="89" xfId="33" applyNumberFormat="1" applyFont="1" applyFill="1" applyBorder="1" applyAlignment="1" applyProtection="1">
      <alignment horizontal="left" vertical="center" indent="1"/>
    </xf>
    <xf numFmtId="3" fontId="11" fillId="0" borderId="58" xfId="33" applyNumberFormat="1" applyFont="1" applyFill="1" applyBorder="1" applyAlignment="1" applyProtection="1"/>
    <xf numFmtId="3" fontId="11" fillId="0" borderId="9" xfId="33" applyNumberFormat="1" applyFont="1" applyFill="1" applyBorder="1" applyAlignment="1" applyProtection="1"/>
    <xf numFmtId="3" fontId="11" fillId="0" borderId="10" xfId="33" applyNumberFormat="1" applyFont="1" applyFill="1" applyBorder="1" applyAlignment="1" applyProtection="1"/>
    <xf numFmtId="3" fontId="11" fillId="0" borderId="34" xfId="33" applyNumberFormat="1" applyFont="1" applyFill="1" applyBorder="1" applyAlignment="1" applyProtection="1"/>
    <xf numFmtId="3" fontId="12" fillId="0" borderId="0" xfId="33" applyNumberFormat="1" applyFont="1" applyFill="1" applyProtection="1">
      <protection locked="0"/>
    </xf>
    <xf numFmtId="0" fontId="12" fillId="0" borderId="0" xfId="26" applyFont="1"/>
    <xf numFmtId="3" fontId="21" fillId="0" borderId="0" xfId="33" applyNumberFormat="1" applyFont="1" applyFill="1" applyAlignment="1" applyProtection="1">
      <alignment horizontal="right"/>
    </xf>
    <xf numFmtId="3" fontId="12" fillId="0" borderId="63" xfId="33" applyNumberFormat="1" applyFont="1" applyFill="1" applyBorder="1" applyAlignment="1" applyProtection="1">
      <alignment horizontal="left" vertical="center" indent="1"/>
    </xf>
    <xf numFmtId="3" fontId="12" fillId="0" borderId="26" xfId="33" applyNumberFormat="1" applyFont="1" applyFill="1" applyBorder="1" applyAlignment="1" applyProtection="1">
      <alignment vertical="center"/>
      <protection locked="0"/>
    </xf>
    <xf numFmtId="3" fontId="11" fillId="0" borderId="86" xfId="11" applyNumberFormat="1" applyFont="1" applyFill="1" applyBorder="1" applyAlignment="1">
      <alignment horizontal="center" vertical="center"/>
    </xf>
    <xf numFmtId="3" fontId="11" fillId="0" borderId="45" xfId="11" applyNumberFormat="1" applyFont="1" applyFill="1" applyBorder="1" applyAlignment="1">
      <alignment horizontal="center" vertical="center"/>
    </xf>
    <xf numFmtId="3" fontId="17" fillId="0" borderId="53" xfId="0" applyNumberFormat="1" applyFont="1" applyBorder="1"/>
    <xf numFmtId="164" fontId="15" fillId="0" borderId="88" xfId="0" applyNumberFormat="1" applyFont="1" applyBorder="1"/>
    <xf numFmtId="164" fontId="17" fillId="0" borderId="88" xfId="0" applyNumberFormat="1" applyFont="1" applyBorder="1"/>
    <xf numFmtId="164" fontId="15" fillId="0" borderId="90" xfId="0" applyNumberFormat="1" applyFont="1" applyBorder="1"/>
    <xf numFmtId="3" fontId="17" fillId="0" borderId="91" xfId="0" applyNumberFormat="1" applyFont="1" applyBorder="1"/>
    <xf numFmtId="3" fontId="16" fillId="0" borderId="91" xfId="0" applyNumberFormat="1" applyFont="1" applyBorder="1"/>
    <xf numFmtId="3" fontId="16" fillId="0" borderId="53" xfId="0" applyNumberFormat="1" applyFont="1" applyBorder="1"/>
    <xf numFmtId="3" fontId="15" fillId="0" borderId="92" xfId="0" applyNumberFormat="1" applyFont="1" applyBorder="1"/>
    <xf numFmtId="3" fontId="17" fillId="2" borderId="49" xfId="0" applyNumberFormat="1" applyFont="1" applyFill="1" applyBorder="1"/>
    <xf numFmtId="3" fontId="17" fillId="0" borderId="49" xfId="0" applyNumberFormat="1" applyFont="1" applyBorder="1"/>
    <xf numFmtId="3" fontId="17" fillId="0" borderId="59" xfId="0" applyNumberFormat="1" applyFont="1" applyBorder="1"/>
    <xf numFmtId="3" fontId="16" fillId="0" borderId="49" xfId="0" applyNumberFormat="1" applyFont="1" applyBorder="1"/>
    <xf numFmtId="3" fontId="16" fillId="0" borderId="59" xfId="0" applyNumberFormat="1" applyFont="1" applyBorder="1"/>
    <xf numFmtId="3" fontId="16" fillId="0" borderId="55" xfId="0" applyNumberFormat="1" applyFont="1" applyBorder="1"/>
    <xf numFmtId="3" fontId="15" fillId="0" borderId="93" xfId="0" applyNumberFormat="1" applyFont="1" applyBorder="1"/>
    <xf numFmtId="3" fontId="17" fillId="2" borderId="94" xfId="0" applyNumberFormat="1" applyFont="1" applyFill="1" applyBorder="1"/>
    <xf numFmtId="3" fontId="17" fillId="0" borderId="94" xfId="0" applyNumberFormat="1" applyFont="1" applyBorder="1"/>
    <xf numFmtId="3" fontId="17" fillId="0" borderId="88" xfId="0" applyNumberFormat="1" applyFont="1" applyBorder="1"/>
    <xf numFmtId="3" fontId="16" fillId="0" borderId="94" xfId="0" applyNumberFormat="1" applyFont="1" applyBorder="1"/>
    <xf numFmtId="3" fontId="16" fillId="0" borderId="88" xfId="0" applyNumberFormat="1" applyFont="1" applyBorder="1"/>
    <xf numFmtId="3" fontId="16" fillId="0" borderId="95" xfId="0" applyNumberFormat="1" applyFont="1" applyBorder="1"/>
    <xf numFmtId="3" fontId="18" fillId="0" borderId="90" xfId="0" applyNumberFormat="1" applyFont="1" applyBorder="1"/>
    <xf numFmtId="3" fontId="15" fillId="0" borderId="12" xfId="0" applyNumberFormat="1" applyFont="1" applyBorder="1"/>
    <xf numFmtId="3" fontId="15" fillId="0" borderId="47" xfId="0" applyNumberFormat="1" applyFont="1" applyBorder="1" applyAlignment="1">
      <alignment horizontal="center" vertical="center" wrapText="1"/>
    </xf>
    <xf numFmtId="3" fontId="7" fillId="0" borderId="0" xfId="31" applyNumberFormat="1" applyFont="1" applyFill="1" applyAlignment="1"/>
    <xf numFmtId="164" fontId="15" fillId="0" borderId="12" xfId="0" applyNumberFormat="1" applyFont="1" applyBorder="1"/>
    <xf numFmtId="3" fontId="15" fillId="0" borderId="96" xfId="0" applyNumberFormat="1" applyFont="1" applyBorder="1"/>
    <xf numFmtId="3" fontId="15" fillId="0" borderId="97" xfId="0" applyNumberFormat="1" applyFont="1" applyBorder="1"/>
    <xf numFmtId="3" fontId="12" fillId="0" borderId="18" xfId="11" applyNumberFormat="1" applyFont="1" applyFill="1" applyBorder="1" applyAlignment="1" applyProtection="1">
      <alignment horizontal="right" vertical="center" wrapText="1"/>
      <protection locked="0"/>
    </xf>
    <xf numFmtId="3" fontId="21" fillId="0" borderId="18" xfId="11" applyNumberFormat="1" applyFont="1" applyFill="1" applyBorder="1" applyAlignment="1" applyProtection="1">
      <alignment horizontal="right" vertical="center" wrapText="1"/>
      <protection locked="0"/>
    </xf>
    <xf numFmtId="0" fontId="12" fillId="0" borderId="56" xfId="11" applyFont="1" applyFill="1" applyBorder="1" applyAlignment="1" applyProtection="1">
      <alignment horizontal="left" vertical="center" wrapText="1" indent="1"/>
      <protection locked="0"/>
    </xf>
    <xf numFmtId="3" fontId="12" fillId="0" borderId="17" xfId="11" applyNumberFormat="1" applyFont="1" applyFill="1" applyBorder="1" applyAlignment="1" applyProtection="1">
      <alignment horizontal="right" vertical="center" wrapText="1"/>
      <protection locked="0"/>
    </xf>
    <xf numFmtId="0" fontId="12" fillId="0" borderId="8" xfId="11" applyFont="1" applyFill="1" applyBorder="1" applyAlignment="1" applyProtection="1">
      <alignment horizontal="left" vertical="center" wrapText="1" indent="1"/>
      <protection locked="0"/>
    </xf>
    <xf numFmtId="3" fontId="11" fillId="0" borderId="9" xfId="11" applyNumberFormat="1" applyFont="1" applyFill="1" applyBorder="1" applyAlignment="1" applyProtection="1">
      <alignment horizontal="right" vertical="center" wrapText="1"/>
      <protection locked="0"/>
    </xf>
    <xf numFmtId="0" fontId="11" fillId="0" borderId="58" xfId="11" applyFont="1" applyFill="1" applyBorder="1" applyAlignment="1" applyProtection="1">
      <alignment horizontal="left" vertical="center" wrapText="1"/>
      <protection locked="0"/>
    </xf>
    <xf numFmtId="3" fontId="21" fillId="0" borderId="26" xfId="11" applyNumberFormat="1" applyFont="1" applyFill="1" applyBorder="1" applyAlignment="1">
      <alignment vertical="center" wrapText="1"/>
    </xf>
    <xf numFmtId="3" fontId="12" fillId="0" borderId="26" xfId="11" applyNumberFormat="1" applyFont="1" applyFill="1" applyBorder="1" applyAlignment="1">
      <alignment vertical="center" wrapText="1"/>
    </xf>
    <xf numFmtId="0" fontId="12" fillId="0" borderId="14" xfId="11" applyFont="1" applyFill="1" applyBorder="1" applyAlignment="1">
      <alignment horizontal="left" vertical="center" wrapText="1" indent="1"/>
    </xf>
    <xf numFmtId="0" fontId="11" fillId="0" borderId="54" xfId="11" applyFont="1" applyFill="1" applyBorder="1" applyAlignment="1">
      <alignment horizontal="center" vertical="center" wrapText="1"/>
    </xf>
    <xf numFmtId="3" fontId="11" fillId="0" borderId="96" xfId="11" applyNumberFormat="1" applyFont="1" applyFill="1" applyBorder="1" applyAlignment="1">
      <alignment horizontal="center" vertical="center" wrapText="1"/>
    </xf>
    <xf numFmtId="0" fontId="11" fillId="0" borderId="3" xfId="11" applyFont="1" applyFill="1" applyBorder="1" applyAlignment="1" applyProtection="1">
      <alignment horizontal="left" vertical="center" wrapText="1"/>
      <protection locked="0"/>
    </xf>
    <xf numFmtId="3" fontId="11" fillId="0" borderId="32" xfId="11" applyNumberFormat="1" applyFont="1" applyFill="1" applyBorder="1" applyAlignment="1" applyProtection="1">
      <alignment horizontal="right" vertical="center" wrapText="1"/>
      <protection locked="0"/>
    </xf>
    <xf numFmtId="0" fontId="11" fillId="0" borderId="0" xfId="11" applyFont="1" applyFill="1" applyAlignment="1">
      <alignment horizontal="center" vertical="center"/>
    </xf>
    <xf numFmtId="0" fontId="11" fillId="0" borderId="0" xfId="11" applyFont="1" applyFill="1" applyAlignment="1">
      <alignment horizontal="centerContinuous" vertical="center"/>
    </xf>
    <xf numFmtId="49" fontId="11" fillId="0" borderId="47" xfId="11" applyNumberFormat="1" applyFont="1" applyFill="1" applyBorder="1" applyAlignment="1">
      <alignment horizontal="center" vertical="center" wrapText="1"/>
    </xf>
    <xf numFmtId="0" fontId="11" fillId="0" borderId="58" xfId="11" applyFont="1" applyFill="1" applyBorder="1" applyAlignment="1">
      <alignment horizontal="center" vertical="center" wrapText="1"/>
    </xf>
    <xf numFmtId="0" fontId="11" fillId="0" borderId="9" xfId="11" applyFont="1" applyFill="1" applyBorder="1" applyAlignment="1">
      <alignment horizontal="center" vertical="center" wrapText="1"/>
    </xf>
    <xf numFmtId="49" fontId="21" fillId="0" borderId="63" xfId="11" applyNumberFormat="1" applyFont="1" applyFill="1" applyBorder="1" applyAlignment="1">
      <alignment horizontal="center" vertical="center" wrapText="1"/>
    </xf>
    <xf numFmtId="49" fontId="12" fillId="0" borderId="60" xfId="11" applyNumberFormat="1" applyFont="1" applyFill="1" applyBorder="1" applyAlignment="1">
      <alignment horizontal="center" vertical="center" wrapText="1"/>
    </xf>
    <xf numFmtId="49" fontId="21" fillId="0" borderId="62" xfId="11" applyNumberFormat="1" applyFont="1" applyFill="1" applyBorder="1" applyAlignment="1">
      <alignment horizontal="center" vertical="center" wrapText="1"/>
    </xf>
    <xf numFmtId="0" fontId="7" fillId="0" borderId="0" xfId="11" applyFont="1" applyFill="1" applyAlignment="1">
      <alignment horizontal="right"/>
    </xf>
    <xf numFmtId="0" fontId="11" fillId="0" borderId="11" xfId="11" applyFont="1" applyFill="1" applyBorder="1" applyAlignment="1">
      <alignment horizontal="center" vertical="center"/>
    </xf>
    <xf numFmtId="0" fontId="12" fillId="0" borderId="98" xfId="11" applyFont="1" applyFill="1" applyBorder="1" applyAlignment="1">
      <alignment horizontal="center" vertical="center"/>
    </xf>
    <xf numFmtId="0" fontId="21" fillId="0" borderId="14" xfId="11" applyFont="1" applyFill="1" applyBorder="1" applyAlignment="1">
      <alignment horizontal="left" vertical="center" wrapText="1" indent="3"/>
    </xf>
    <xf numFmtId="0" fontId="12" fillId="0" borderId="14" xfId="11" applyFont="1" applyFill="1" applyBorder="1" applyAlignment="1">
      <alignment horizontal="left" vertical="center" wrapText="1" indent="2"/>
    </xf>
    <xf numFmtId="0" fontId="12" fillId="0" borderId="56" xfId="11" applyFont="1" applyFill="1" applyBorder="1" applyAlignment="1" applyProtection="1">
      <alignment horizontal="left" vertical="center" wrapText="1" indent="2"/>
      <protection locked="0"/>
    </xf>
    <xf numFmtId="0" fontId="21" fillId="0" borderId="56" xfId="11" applyFont="1" applyFill="1" applyBorder="1" applyAlignment="1" applyProtection="1">
      <alignment horizontal="left" vertical="center" wrapText="1" indent="3"/>
      <protection locked="0"/>
    </xf>
    <xf numFmtId="0" fontId="12" fillId="0" borderId="8" xfId="11" applyFont="1" applyFill="1" applyBorder="1" applyAlignment="1" applyProtection="1">
      <alignment horizontal="left" vertical="center" wrapText="1" indent="2"/>
      <protection locked="0"/>
    </xf>
    <xf numFmtId="0" fontId="11" fillId="0" borderId="11" xfId="11" applyFont="1" applyFill="1" applyBorder="1" applyAlignment="1">
      <alignment horizontal="center" vertical="center" wrapText="1"/>
    </xf>
    <xf numFmtId="49" fontId="12" fillId="0" borderId="98" xfId="11" applyNumberFormat="1" applyFont="1" applyFill="1" applyBorder="1" applyAlignment="1">
      <alignment horizontal="center" vertical="center" wrapText="1"/>
    </xf>
    <xf numFmtId="0" fontId="12" fillId="0" borderId="3" xfId="11" applyFont="1" applyFill="1" applyBorder="1" applyAlignment="1">
      <alignment horizontal="left" vertical="center" wrapText="1" indent="1"/>
    </xf>
    <xf numFmtId="3" fontId="12" fillId="0" borderId="32" xfId="11" applyNumberFormat="1" applyFont="1" applyFill="1" applyBorder="1" applyAlignment="1">
      <alignment vertical="center" wrapText="1"/>
    </xf>
    <xf numFmtId="0" fontId="12" fillId="0" borderId="0" xfId="0" applyFont="1" applyFill="1"/>
    <xf numFmtId="3" fontId="12" fillId="0" borderId="42" xfId="11" applyNumberFormat="1" applyFont="1" applyFill="1" applyBorder="1" applyAlignment="1" applyProtection="1">
      <alignment vertical="center" wrapText="1"/>
      <protection locked="0"/>
    </xf>
    <xf numFmtId="165" fontId="11" fillId="0" borderId="0" xfId="11" applyNumberFormat="1" applyFont="1" applyFill="1" applyBorder="1" applyAlignment="1" applyProtection="1">
      <alignment horizontal="center" vertical="center" wrapText="1"/>
    </xf>
    <xf numFmtId="165" fontId="11" fillId="0" borderId="3" xfId="11" applyNumberFormat="1" applyFont="1" applyFill="1" applyBorder="1" applyAlignment="1" applyProtection="1">
      <alignment horizontal="center" vertical="center" wrapText="1"/>
    </xf>
    <xf numFmtId="165" fontId="11" fillId="0" borderId="87" xfId="11" applyNumberFormat="1" applyFont="1" applyFill="1" applyBorder="1" applyAlignment="1" applyProtection="1">
      <alignment horizontal="center" vertical="center" wrapText="1"/>
    </xf>
    <xf numFmtId="165" fontId="11" fillId="0" borderId="58" xfId="11" applyNumberFormat="1" applyFont="1" applyFill="1" applyBorder="1" applyAlignment="1">
      <alignment horizontal="center" vertical="center" wrapText="1"/>
    </xf>
    <xf numFmtId="3" fontId="11" fillId="0" borderId="41" xfId="11" applyNumberFormat="1" applyFont="1" applyFill="1" applyBorder="1" applyAlignment="1" applyProtection="1">
      <alignment vertical="center" wrapText="1"/>
      <protection locked="0"/>
    </xf>
    <xf numFmtId="3" fontId="12" fillId="0" borderId="8" xfId="11" applyNumberFormat="1" applyFont="1" applyFill="1" applyBorder="1" applyAlignment="1" applyProtection="1">
      <alignment vertical="center" wrapText="1"/>
      <protection locked="0"/>
    </xf>
    <xf numFmtId="3" fontId="12" fillId="0" borderId="6" xfId="11" applyNumberFormat="1" applyFont="1" applyFill="1" applyBorder="1" applyAlignment="1" applyProtection="1">
      <alignment vertical="center" wrapText="1"/>
      <protection locked="0"/>
    </xf>
    <xf numFmtId="3" fontId="10" fillId="0" borderId="87" xfId="11" applyNumberFormat="1" applyFont="1" applyFill="1" applyBorder="1" applyAlignment="1" applyProtection="1">
      <alignment vertical="center" wrapText="1"/>
      <protection locked="0"/>
    </xf>
    <xf numFmtId="3" fontId="10" fillId="0" borderId="43" xfId="11" applyNumberFormat="1" applyFont="1" applyFill="1" applyBorder="1" applyAlignment="1" applyProtection="1">
      <alignment vertical="center" wrapText="1"/>
      <protection locked="0"/>
    </xf>
    <xf numFmtId="3" fontId="11" fillId="0" borderId="87" xfId="11" applyNumberFormat="1" applyFont="1" applyFill="1" applyBorder="1" applyAlignment="1" applyProtection="1">
      <alignment vertical="center" wrapText="1"/>
    </xf>
    <xf numFmtId="3" fontId="11" fillId="0" borderId="43" xfId="11" applyNumberFormat="1" applyFont="1" applyFill="1" applyBorder="1" applyAlignment="1" applyProtection="1">
      <alignment vertical="center" wrapText="1"/>
    </xf>
    <xf numFmtId="165" fontId="12" fillId="0" borderId="41" xfId="11" applyNumberFormat="1" applyFont="1" applyFill="1" applyBorder="1" applyAlignment="1">
      <alignment vertical="center" wrapText="1"/>
    </xf>
    <xf numFmtId="165" fontId="9" fillId="0" borderId="0" xfId="11" applyNumberFormat="1" applyFont="1" applyFill="1" applyAlignment="1">
      <alignment vertical="center" wrapText="1"/>
    </xf>
    <xf numFmtId="165" fontId="11" fillId="0" borderId="13" xfId="11" applyNumberFormat="1" applyFont="1" applyFill="1" applyBorder="1" applyAlignment="1">
      <alignment horizontal="center" vertical="center" wrapText="1"/>
    </xf>
    <xf numFmtId="165" fontId="11" fillId="0" borderId="27" xfId="11" applyNumberFormat="1" applyFont="1" applyFill="1" applyBorder="1" applyAlignment="1" applyProtection="1">
      <alignment horizontal="center" vertical="center" wrapText="1"/>
    </xf>
    <xf numFmtId="165" fontId="11" fillId="0" borderId="34" xfId="11" applyNumberFormat="1" applyFont="1" applyFill="1" applyBorder="1" applyAlignment="1" applyProtection="1">
      <alignment horizontal="center" vertical="center" wrapText="1"/>
    </xf>
    <xf numFmtId="165" fontId="11" fillId="0" borderId="46" xfId="11" applyNumberFormat="1" applyFont="1" applyFill="1" applyBorder="1" applyAlignment="1" applyProtection="1">
      <alignment horizontal="center" vertical="center" wrapText="1"/>
    </xf>
    <xf numFmtId="3" fontId="12" fillId="0" borderId="30" xfId="11" applyNumberFormat="1" applyFont="1" applyFill="1" applyBorder="1" applyAlignment="1" applyProtection="1">
      <alignment vertical="center" wrapText="1"/>
      <protection locked="0"/>
    </xf>
    <xf numFmtId="3" fontId="10" fillId="0" borderId="35" xfId="11" applyNumberFormat="1" applyFont="1" applyFill="1" applyBorder="1" applyAlignment="1" applyProtection="1">
      <alignment vertical="center" wrapText="1"/>
      <protection locked="0"/>
    </xf>
    <xf numFmtId="3" fontId="11" fillId="0" borderId="35" xfId="11" applyNumberFormat="1" applyFont="1" applyFill="1" applyBorder="1" applyAlignment="1" applyProtection="1">
      <alignment vertical="center" wrapText="1"/>
    </xf>
    <xf numFmtId="3" fontId="11" fillId="0" borderId="45" xfId="11" applyNumberFormat="1" applyFont="1" applyFill="1" applyBorder="1" applyAlignment="1" applyProtection="1">
      <alignment vertical="center" wrapText="1"/>
    </xf>
    <xf numFmtId="165" fontId="11" fillId="0" borderId="54" xfId="11" applyNumberFormat="1" applyFont="1" applyFill="1" applyBorder="1" applyAlignment="1" applyProtection="1">
      <alignment horizontal="center" vertical="center" wrapText="1"/>
    </xf>
    <xf numFmtId="165" fontId="11" fillId="0" borderId="21" xfId="11" applyNumberFormat="1" applyFont="1" applyFill="1" applyBorder="1" applyAlignment="1" applyProtection="1">
      <alignment horizontal="center" vertical="center" wrapText="1"/>
    </xf>
    <xf numFmtId="165" fontId="11" fillId="0" borderId="15" xfId="11" applyNumberFormat="1" applyFont="1" applyFill="1" applyBorder="1" applyAlignment="1" applyProtection="1">
      <alignment horizontal="center" vertical="center" wrapText="1"/>
    </xf>
    <xf numFmtId="165" fontId="11" fillId="0" borderId="45" xfId="11" applyNumberFormat="1" applyFont="1" applyFill="1" applyBorder="1" applyAlignment="1">
      <alignment vertical="center" wrapText="1"/>
    </xf>
    <xf numFmtId="0" fontId="12" fillId="0" borderId="20" xfId="11" applyFont="1" applyFill="1" applyBorder="1" applyAlignment="1" applyProtection="1">
      <alignment horizontal="left" vertical="center" indent="1"/>
      <protection locked="0"/>
    </xf>
    <xf numFmtId="3" fontId="11" fillId="0" borderId="30" xfId="11" applyNumberFormat="1" applyFont="1" applyFill="1" applyBorder="1" applyAlignment="1">
      <alignment vertical="center"/>
    </xf>
    <xf numFmtId="3" fontId="11" fillId="0" borderId="9" xfId="31" applyNumberFormat="1" applyFont="1" applyFill="1" applyBorder="1" applyAlignment="1" applyProtection="1">
      <alignment horizontal="center" vertical="center" wrapText="1"/>
    </xf>
    <xf numFmtId="3" fontId="9" fillId="0" borderId="0" xfId="11" applyNumberFormat="1" applyFont="1" applyFill="1" applyAlignment="1">
      <alignment vertical="center" wrapText="1"/>
    </xf>
    <xf numFmtId="3" fontId="7" fillId="0" borderId="0" xfId="11" applyNumberFormat="1" applyFont="1" applyFill="1" applyAlignment="1">
      <alignment horizontal="right" vertical="center" wrapText="1"/>
    </xf>
    <xf numFmtId="3" fontId="11" fillId="0" borderId="21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39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30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17" xfId="11" applyNumberFormat="1" applyFont="1" applyFill="1" applyBorder="1" applyAlignment="1" applyProtection="1">
      <alignment horizontal="right" vertical="center" wrapText="1"/>
      <protection locked="0"/>
    </xf>
    <xf numFmtId="3" fontId="16" fillId="0" borderId="63" xfId="0" applyNumberFormat="1" applyFont="1" applyBorder="1"/>
    <xf numFmtId="3" fontId="16" fillId="0" borderId="62" xfId="0" applyNumberFormat="1" applyFont="1" applyBorder="1"/>
    <xf numFmtId="3" fontId="17" fillId="0" borderId="62" xfId="0" applyNumberFormat="1" applyFont="1" applyBorder="1"/>
    <xf numFmtId="3" fontId="16" fillId="0" borderId="89" xfId="0" applyNumberFormat="1" applyFont="1" applyBorder="1"/>
    <xf numFmtId="3" fontId="16" fillId="0" borderId="0" xfId="0" applyNumberFormat="1" applyFont="1" applyBorder="1"/>
    <xf numFmtId="3" fontId="18" fillId="0" borderId="0" xfId="0" applyNumberFormat="1" applyFont="1" applyBorder="1"/>
    <xf numFmtId="49" fontId="12" fillId="0" borderId="0" xfId="11" applyNumberFormat="1" applyFont="1" applyFill="1" applyAlignment="1">
      <alignment horizontal="left" vertical="center" wrapText="1"/>
    </xf>
    <xf numFmtId="3" fontId="11" fillId="0" borderId="0" xfId="11" applyNumberFormat="1" applyFont="1" applyFill="1" applyAlignment="1">
      <alignment vertical="center" wrapText="1"/>
    </xf>
    <xf numFmtId="3" fontId="11" fillId="0" borderId="0" xfId="11" applyNumberFormat="1" applyFont="1" applyFill="1" applyAlignment="1">
      <alignment horizontal="right" vertical="center" wrapText="1"/>
    </xf>
    <xf numFmtId="3" fontId="12" fillId="0" borderId="0" xfId="11" applyNumberFormat="1" applyFont="1" applyFill="1" applyBorder="1" applyAlignment="1">
      <alignment vertical="center" wrapText="1"/>
    </xf>
    <xf numFmtId="3" fontId="11" fillId="0" borderId="0" xfId="11" applyNumberFormat="1" applyFont="1" applyFill="1" applyBorder="1" applyAlignment="1">
      <alignment vertical="center" wrapText="1"/>
    </xf>
    <xf numFmtId="0" fontId="11" fillId="0" borderId="0" xfId="11" applyFont="1" applyFill="1" applyAlignment="1">
      <alignment horizontal="center" vertical="center" wrapText="1"/>
    </xf>
    <xf numFmtId="3" fontId="11" fillId="0" borderId="0" xfId="11" applyNumberFormat="1" applyFont="1" applyFill="1" applyBorder="1" applyAlignment="1">
      <alignment horizontal="center" vertical="center" wrapText="1"/>
    </xf>
    <xf numFmtId="3" fontId="11" fillId="0" borderId="30" xfId="11" applyNumberFormat="1" applyFont="1" applyFill="1" applyBorder="1" applyAlignment="1" applyProtection="1">
      <alignment horizontal="right" wrapText="1"/>
      <protection locked="0"/>
    </xf>
    <xf numFmtId="3" fontId="11" fillId="0" borderId="17" xfId="11" applyNumberFormat="1" applyFont="1" applyFill="1" applyBorder="1" applyAlignment="1" applyProtection="1">
      <alignment horizontal="right" wrapText="1"/>
      <protection locked="0"/>
    </xf>
    <xf numFmtId="0" fontId="11" fillId="0" borderId="0" xfId="11" applyFont="1" applyFill="1" applyAlignment="1">
      <alignment horizontal="center" wrapText="1"/>
    </xf>
    <xf numFmtId="3" fontId="11" fillId="0" borderId="22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18" xfId="11" applyNumberFormat="1" applyFont="1" applyFill="1" applyBorder="1" applyAlignment="1" applyProtection="1">
      <alignment horizontal="right" vertical="center" wrapText="1"/>
      <protection locked="0"/>
    </xf>
    <xf numFmtId="3" fontId="12" fillId="0" borderId="31" xfId="11" applyNumberFormat="1" applyFont="1" applyFill="1" applyBorder="1" applyAlignment="1">
      <alignment vertical="center" wrapText="1"/>
    </xf>
    <xf numFmtId="3" fontId="12" fillId="0" borderId="98" xfId="11" applyNumberFormat="1" applyFont="1" applyFill="1" applyBorder="1" applyAlignment="1">
      <alignment vertical="center" wrapText="1"/>
    </xf>
    <xf numFmtId="3" fontId="11" fillId="0" borderId="24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26" xfId="11" applyNumberFormat="1" applyFont="1" applyFill="1" applyBorder="1" applyAlignment="1" applyProtection="1">
      <alignment horizontal="right" vertical="center" wrapText="1"/>
      <protection locked="0"/>
    </xf>
    <xf numFmtId="0" fontId="12" fillId="0" borderId="0" xfId="11" applyFont="1" applyFill="1" applyAlignment="1">
      <alignment vertical="center" wrapText="1"/>
    </xf>
    <xf numFmtId="0" fontId="11" fillId="0" borderId="9" xfId="11" applyFont="1" applyFill="1" applyBorder="1" applyAlignment="1">
      <alignment horizontal="justify"/>
    </xf>
    <xf numFmtId="3" fontId="11" fillId="0" borderId="34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11" xfId="11" applyNumberFormat="1" applyFont="1" applyFill="1" applyBorder="1" applyAlignment="1">
      <alignment vertical="center" wrapText="1"/>
    </xf>
    <xf numFmtId="49" fontId="11" fillId="2" borderId="11" xfId="11" applyNumberFormat="1" applyFont="1" applyFill="1" applyBorder="1" applyAlignment="1">
      <alignment horizontal="center" vertical="center" wrapText="1"/>
    </xf>
    <xf numFmtId="3" fontId="11" fillId="2" borderId="34" xfId="11" applyNumberFormat="1" applyFont="1" applyFill="1" applyBorder="1" applyAlignment="1" applyProtection="1">
      <alignment horizontal="right" vertical="center" wrapText="1"/>
      <protection locked="0"/>
    </xf>
    <xf numFmtId="3" fontId="11" fillId="2" borderId="11" xfId="11" applyNumberFormat="1" applyFont="1" applyFill="1" applyBorder="1" applyAlignment="1" applyProtection="1">
      <alignment horizontal="right" vertical="center" wrapText="1"/>
      <protection locked="0"/>
    </xf>
    <xf numFmtId="3" fontId="11" fillId="2" borderId="10" xfId="11" applyNumberFormat="1" applyFont="1" applyFill="1" applyBorder="1" applyAlignment="1" applyProtection="1">
      <alignment horizontal="right" vertical="center" wrapText="1"/>
      <protection locked="0"/>
    </xf>
    <xf numFmtId="3" fontId="11" fillId="2" borderId="9" xfId="11" applyNumberFormat="1" applyFont="1" applyFill="1" applyBorder="1" applyAlignment="1" applyProtection="1">
      <alignment horizontal="right" vertical="center" wrapText="1"/>
      <protection locked="0"/>
    </xf>
    <xf numFmtId="0" fontId="11" fillId="0" borderId="85" xfId="11" applyFont="1" applyFill="1" applyBorder="1" applyAlignment="1">
      <alignment horizontal="justify"/>
    </xf>
    <xf numFmtId="3" fontId="11" fillId="0" borderId="33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101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86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51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50" xfId="11" applyNumberFormat="1" applyFont="1" applyFill="1" applyBorder="1" applyAlignment="1" applyProtection="1">
      <alignment horizontal="right" vertical="center" wrapText="1"/>
      <protection locked="0"/>
    </xf>
    <xf numFmtId="3" fontId="11" fillId="2" borderId="12" xfId="11" applyNumberFormat="1" applyFont="1" applyFill="1" applyBorder="1" applyAlignment="1" applyProtection="1">
      <alignment horizontal="right" vertical="center" wrapText="1"/>
      <protection locked="0"/>
    </xf>
    <xf numFmtId="49" fontId="11" fillId="0" borderId="99" xfId="11" applyNumberFormat="1" applyFont="1" applyFill="1" applyBorder="1" applyAlignment="1">
      <alignment horizontal="center" vertical="center" wrapText="1"/>
    </xf>
    <xf numFmtId="0" fontId="11" fillId="0" borderId="29" xfId="11" applyFont="1" applyFill="1" applyBorder="1" applyAlignment="1">
      <alignment horizontal="justify"/>
    </xf>
    <xf numFmtId="3" fontId="11" fillId="0" borderId="99" xfId="11" applyNumberFormat="1" applyFont="1" applyFill="1" applyBorder="1" applyAlignment="1">
      <alignment vertical="center" wrapText="1"/>
    </xf>
    <xf numFmtId="3" fontId="11" fillId="0" borderId="28" xfId="11" applyNumberFormat="1" applyFont="1" applyFill="1" applyBorder="1" applyAlignment="1">
      <alignment vertical="center" wrapText="1"/>
    </xf>
    <xf numFmtId="3" fontId="11" fillId="0" borderId="29" xfId="11" applyNumberFormat="1" applyFont="1" applyFill="1" applyBorder="1" applyAlignment="1">
      <alignment vertical="center" wrapText="1"/>
    </xf>
    <xf numFmtId="0" fontId="11" fillId="2" borderId="9" xfId="11" applyFont="1" applyFill="1" applyBorder="1" applyAlignment="1">
      <alignment horizontal="justify"/>
    </xf>
    <xf numFmtId="3" fontId="11" fillId="2" borderId="11" xfId="11" applyNumberFormat="1" applyFont="1" applyFill="1" applyBorder="1" applyAlignment="1">
      <alignment vertical="center" wrapText="1"/>
    </xf>
    <xf numFmtId="3" fontId="11" fillId="2" borderId="10" xfId="11" applyNumberFormat="1" applyFont="1" applyFill="1" applyBorder="1" applyAlignment="1">
      <alignment vertical="center" wrapText="1"/>
    </xf>
    <xf numFmtId="3" fontId="11" fillId="2" borderId="9" xfId="11" applyNumberFormat="1" applyFont="1" applyFill="1" applyBorder="1" applyAlignment="1">
      <alignment vertical="center" wrapText="1"/>
    </xf>
    <xf numFmtId="0" fontId="12" fillId="0" borderId="32" xfId="11" applyFont="1" applyFill="1" applyBorder="1" applyAlignment="1">
      <alignment horizontal="justify"/>
    </xf>
    <xf numFmtId="3" fontId="11" fillId="0" borderId="46" xfId="11" applyNumberFormat="1" applyFont="1" applyFill="1" applyBorder="1" applyAlignment="1" applyProtection="1">
      <alignment horizontal="right" vertical="center" wrapText="1"/>
      <protection locked="0"/>
    </xf>
    <xf numFmtId="3" fontId="11" fillId="2" borderId="34" xfId="11" applyNumberFormat="1" applyFont="1" applyFill="1" applyBorder="1" applyAlignment="1">
      <alignment horizontal="right" vertical="center" wrapText="1"/>
    </xf>
    <xf numFmtId="3" fontId="11" fillId="2" borderId="9" xfId="11" applyNumberFormat="1" applyFont="1" applyFill="1" applyBorder="1" applyAlignment="1">
      <alignment horizontal="right" vertical="center" wrapText="1"/>
    </xf>
    <xf numFmtId="3" fontId="11" fillId="2" borderId="11" xfId="11" applyNumberFormat="1" applyFont="1" applyFill="1" applyBorder="1" applyAlignment="1">
      <alignment horizontal="right" vertical="center" wrapText="1"/>
    </xf>
    <xf numFmtId="3" fontId="11" fillId="2" borderId="10" xfId="11" applyNumberFormat="1" applyFont="1" applyFill="1" applyBorder="1" applyAlignment="1">
      <alignment horizontal="right" vertical="center" wrapText="1"/>
    </xf>
    <xf numFmtId="3" fontId="10" fillId="0" borderId="0" xfId="11" applyNumberFormat="1" applyFont="1" applyFill="1" applyBorder="1" applyAlignment="1">
      <alignment horizontal="right" wrapText="1"/>
    </xf>
    <xf numFmtId="3" fontId="11" fillId="0" borderId="47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11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10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41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13" xfId="11" applyNumberFormat="1" applyFont="1" applyFill="1" applyBorder="1" applyAlignment="1" applyProtection="1">
      <alignment horizontal="right" vertical="center" wrapText="1"/>
      <protection locked="0"/>
    </xf>
    <xf numFmtId="3" fontId="11" fillId="2" borderId="99" xfId="11" applyNumberFormat="1" applyFont="1" applyFill="1" applyBorder="1" applyAlignment="1" applyProtection="1">
      <alignment horizontal="right" vertical="center" wrapText="1"/>
      <protection locked="0"/>
    </xf>
    <xf numFmtId="3" fontId="11" fillId="2" borderId="28" xfId="11" applyNumberFormat="1" applyFont="1" applyFill="1" applyBorder="1" applyAlignment="1" applyProtection="1">
      <alignment horizontal="right" vertical="center" wrapText="1"/>
      <protection locked="0"/>
    </xf>
    <xf numFmtId="3" fontId="11" fillId="2" borderId="29" xfId="11" applyNumberFormat="1" applyFont="1" applyFill="1" applyBorder="1" applyAlignment="1" applyProtection="1">
      <alignment horizontal="right" vertical="center" wrapText="1"/>
      <protection locked="0"/>
    </xf>
    <xf numFmtId="3" fontId="11" fillId="2" borderId="35" xfId="11" applyNumberFormat="1" applyFont="1" applyFill="1" applyBorder="1" applyAlignment="1" applyProtection="1">
      <alignment horizontal="right" vertical="center" wrapText="1"/>
      <protection locked="0"/>
    </xf>
    <xf numFmtId="3" fontId="11" fillId="2" borderId="93" xfId="11" applyNumberFormat="1" applyFont="1" applyFill="1" applyBorder="1" applyAlignment="1" applyProtection="1">
      <alignment horizontal="right" vertical="center" wrapText="1"/>
      <protection locked="0"/>
    </xf>
    <xf numFmtId="49" fontId="11" fillId="0" borderId="98" xfId="11" applyNumberFormat="1" applyFont="1" applyFill="1" applyBorder="1" applyAlignment="1">
      <alignment horizontal="center" vertical="center" wrapText="1"/>
    </xf>
    <xf numFmtId="3" fontId="11" fillId="2" borderId="47" xfId="11" applyNumberFormat="1" applyFont="1" applyFill="1" applyBorder="1" applyAlignment="1" applyProtection="1">
      <alignment horizontal="right" vertical="center" wrapText="1"/>
      <protection locked="0"/>
    </xf>
    <xf numFmtId="3" fontId="11" fillId="2" borderId="41" xfId="11" applyNumberFormat="1" applyFont="1" applyFill="1" applyBorder="1" applyAlignment="1" applyProtection="1">
      <alignment horizontal="right" vertical="center" wrapText="1"/>
      <protection locked="0"/>
    </xf>
    <xf numFmtId="49" fontId="7" fillId="0" borderId="0" xfId="11" applyNumberFormat="1" applyFont="1" applyFill="1" applyAlignment="1">
      <alignment horizontal="left" vertical="center" wrapText="1"/>
    </xf>
    <xf numFmtId="3" fontId="9" fillId="0" borderId="0" xfId="11" applyNumberFormat="1" applyFont="1" applyFill="1" applyAlignment="1">
      <alignment horizontal="right" vertical="center" wrapText="1"/>
    </xf>
    <xf numFmtId="49" fontId="12" fillId="0" borderId="97" xfId="11" applyNumberFormat="1" applyFont="1" applyFill="1" applyBorder="1" applyAlignment="1">
      <alignment horizontal="left" vertical="center" wrapText="1"/>
    </xf>
    <xf numFmtId="49" fontId="12" fillId="0" borderId="101" xfId="11" applyNumberFormat="1" applyFont="1" applyFill="1" applyBorder="1" applyAlignment="1">
      <alignment horizontal="left" vertical="center" wrapText="1"/>
    </xf>
    <xf numFmtId="49" fontId="11" fillId="0" borderId="12" xfId="11" applyNumberFormat="1" applyFont="1" applyFill="1" applyBorder="1" applyAlignment="1">
      <alignment horizontal="left" vertical="center" wrapText="1"/>
    </xf>
    <xf numFmtId="168" fontId="11" fillId="0" borderId="47" xfId="11" applyNumberFormat="1" applyFont="1" applyFill="1" applyBorder="1" applyAlignment="1">
      <alignment horizontal="center" vertical="center" wrapText="1"/>
    </xf>
    <xf numFmtId="168" fontId="11" fillId="2" borderId="47" xfId="11" applyNumberFormat="1" applyFont="1" applyFill="1" applyBorder="1" applyAlignment="1">
      <alignment horizontal="center" vertical="center" wrapText="1"/>
    </xf>
    <xf numFmtId="168" fontId="7" fillId="0" borderId="0" xfId="11" applyNumberFormat="1" applyFont="1" applyFill="1" applyAlignment="1">
      <alignment horizontal="center" vertical="center" wrapText="1"/>
    </xf>
    <xf numFmtId="168" fontId="12" fillId="0" borderId="0" xfId="11" applyNumberFormat="1" applyFont="1" applyFill="1" applyAlignment="1">
      <alignment horizontal="center" vertical="center" wrapText="1"/>
    </xf>
    <xf numFmtId="168" fontId="12" fillId="0" borderId="49" xfId="11" applyNumberFormat="1" applyFont="1" applyFill="1" applyBorder="1" applyAlignment="1">
      <alignment horizontal="center" vertical="center" wrapText="1"/>
    </xf>
    <xf numFmtId="168" fontId="12" fillId="0" borderId="55" xfId="11" applyNumberFormat="1" applyFont="1" applyFill="1" applyBorder="1" applyAlignment="1">
      <alignment horizontal="center" vertical="center" wrapText="1"/>
    </xf>
    <xf numFmtId="168" fontId="12" fillId="0" borderId="57" xfId="11" applyNumberFormat="1" applyFont="1" applyFill="1" applyBorder="1" applyAlignment="1">
      <alignment horizontal="center" vertical="center" wrapText="1"/>
    </xf>
    <xf numFmtId="3" fontId="11" fillId="0" borderId="0" xfId="11" applyNumberFormat="1" applyFont="1"/>
    <xf numFmtId="3" fontId="12" fillId="0" borderId="0" xfId="11" applyNumberFormat="1" applyFont="1" applyAlignment="1">
      <alignment horizontal="center"/>
    </xf>
    <xf numFmtId="3" fontId="11" fillId="0" borderId="34" xfId="11" applyNumberFormat="1" applyFont="1" applyBorder="1" applyAlignment="1">
      <alignment horizontal="center" vertical="center" wrapText="1"/>
    </xf>
    <xf numFmtId="3" fontId="11" fillId="0" borderId="0" xfId="11" applyNumberFormat="1" applyFont="1" applyAlignment="1">
      <alignment vertical="center"/>
    </xf>
    <xf numFmtId="3" fontId="12" fillId="0" borderId="95" xfId="11" applyNumberFormat="1" applyFont="1" applyBorder="1" applyAlignment="1">
      <alignment horizontal="left" indent="1"/>
    </xf>
    <xf numFmtId="3" fontId="12" fillId="0" borderId="6" xfId="11" applyNumberFormat="1" applyFont="1" applyBorder="1"/>
    <xf numFmtId="3" fontId="11" fillId="0" borderId="30" xfId="11" applyNumberFormat="1" applyFont="1" applyBorder="1"/>
    <xf numFmtId="3" fontId="12" fillId="0" borderId="94" xfId="11" applyNumberFormat="1" applyFont="1" applyBorder="1" applyAlignment="1">
      <alignment horizontal="left" indent="1"/>
    </xf>
    <xf numFmtId="3" fontId="12" fillId="0" borderId="20" xfId="11" applyNumberFormat="1" applyFont="1" applyBorder="1"/>
    <xf numFmtId="3" fontId="11" fillId="0" borderId="22" xfId="11" applyNumberFormat="1" applyFont="1" applyBorder="1"/>
    <xf numFmtId="3" fontId="12" fillId="0" borderId="88" xfId="11" applyNumberFormat="1" applyFont="1" applyBorder="1" applyAlignment="1">
      <alignment horizontal="left" indent="1"/>
    </xf>
    <xf numFmtId="3" fontId="12" fillId="0" borderId="4" xfId="11" applyNumberFormat="1" applyFont="1" applyBorder="1"/>
    <xf numFmtId="3" fontId="11" fillId="0" borderId="11" xfId="11" applyNumberFormat="1" applyFont="1" applyBorder="1" applyAlignment="1">
      <alignment horizontal="center"/>
    </xf>
    <xf numFmtId="3" fontId="11" fillId="0" borderId="12" xfId="11" applyNumberFormat="1" applyFont="1" applyBorder="1"/>
    <xf numFmtId="3" fontId="11" fillId="0" borderId="13" xfId="11" applyNumberFormat="1" applyFont="1" applyBorder="1"/>
    <xf numFmtId="3" fontId="11" fillId="0" borderId="10" xfId="11" applyNumberFormat="1" applyFont="1" applyBorder="1"/>
    <xf numFmtId="3" fontId="11" fillId="0" borderId="9" xfId="11" applyNumberFormat="1" applyFont="1" applyBorder="1"/>
    <xf numFmtId="3" fontId="11" fillId="0" borderId="34" xfId="11" applyNumberFormat="1" applyFont="1" applyBorder="1"/>
    <xf numFmtId="3" fontId="11" fillId="0" borderId="58" xfId="11" applyNumberFormat="1" applyFont="1" applyBorder="1"/>
    <xf numFmtId="3" fontId="12" fillId="0" borderId="97" xfId="11" applyNumberFormat="1" applyFont="1" applyBorder="1" applyAlignment="1">
      <alignment horizontal="left" indent="1"/>
    </xf>
    <xf numFmtId="3" fontId="12" fillId="0" borderId="1" xfId="11" applyNumberFormat="1" applyFont="1" applyBorder="1"/>
    <xf numFmtId="3" fontId="11" fillId="2" borderId="11" xfId="11" applyNumberFormat="1" applyFont="1" applyFill="1" applyBorder="1" applyAlignment="1">
      <alignment horizontal="center"/>
    </xf>
    <xf numFmtId="3" fontId="11" fillId="2" borderId="12" xfId="11" applyNumberFormat="1" applyFont="1" applyFill="1" applyBorder="1"/>
    <xf numFmtId="3" fontId="11" fillId="2" borderId="13" xfId="11" applyNumberFormat="1" applyFont="1" applyFill="1" applyBorder="1"/>
    <xf numFmtId="3" fontId="11" fillId="2" borderId="10" xfId="11" applyNumberFormat="1" applyFont="1" applyFill="1" applyBorder="1"/>
    <xf numFmtId="3" fontId="11" fillId="2" borderId="58" xfId="11" applyNumberFormat="1" applyFont="1" applyFill="1" applyBorder="1"/>
    <xf numFmtId="3" fontId="11" fillId="2" borderId="34" xfId="11" applyNumberFormat="1" applyFont="1" applyFill="1" applyBorder="1"/>
    <xf numFmtId="3" fontId="11" fillId="0" borderId="1" xfId="11" applyNumberFormat="1" applyFont="1" applyFill="1" applyBorder="1"/>
    <xf numFmtId="3" fontId="11" fillId="0" borderId="31" xfId="11" applyNumberFormat="1" applyFont="1" applyFill="1" applyBorder="1"/>
    <xf numFmtId="3" fontId="11" fillId="0" borderId="3" xfId="11" applyNumberFormat="1" applyFont="1" applyFill="1" applyBorder="1"/>
    <xf numFmtId="3" fontId="11" fillId="0" borderId="46" xfId="11" applyNumberFormat="1" applyFont="1" applyFill="1" applyBorder="1"/>
    <xf numFmtId="0" fontId="12" fillId="0" borderId="18" xfId="11" applyFont="1" applyFill="1" applyBorder="1" applyAlignment="1">
      <alignment horizontal="left" indent="1"/>
    </xf>
    <xf numFmtId="3" fontId="11" fillId="0" borderId="11" xfId="11" applyNumberFormat="1" applyFont="1" applyFill="1" applyBorder="1" applyAlignment="1">
      <alignment horizontal="center"/>
    </xf>
    <xf numFmtId="3" fontId="11" fillId="0" borderId="12" xfId="11" applyNumberFormat="1" applyFont="1" applyFill="1" applyBorder="1"/>
    <xf numFmtId="3" fontId="11" fillId="0" borderId="13" xfId="11" applyNumberFormat="1" applyFont="1" applyFill="1" applyBorder="1"/>
    <xf numFmtId="3" fontId="11" fillId="0" borderId="10" xfId="11" applyNumberFormat="1" applyFont="1" applyFill="1" applyBorder="1"/>
    <xf numFmtId="3" fontId="11" fillId="0" borderId="58" xfId="11" applyNumberFormat="1" applyFont="1" applyFill="1" applyBorder="1"/>
    <xf numFmtId="3" fontId="11" fillId="0" borderId="34" xfId="11" applyNumberFormat="1" applyFont="1" applyFill="1" applyBorder="1"/>
    <xf numFmtId="0" fontId="11" fillId="0" borderId="97" xfId="11" applyFont="1" applyFill="1" applyBorder="1" applyAlignment="1">
      <alignment horizontal="justify"/>
    </xf>
    <xf numFmtId="3" fontId="11" fillId="0" borderId="27" xfId="11" applyNumberFormat="1" applyFont="1" applyFill="1" applyBorder="1"/>
    <xf numFmtId="3" fontId="11" fillId="2" borderId="27" xfId="11" applyNumberFormat="1" applyFont="1" applyFill="1" applyBorder="1"/>
    <xf numFmtId="3" fontId="11" fillId="2" borderId="35" xfId="11" applyNumberFormat="1" applyFont="1" applyFill="1" applyBorder="1"/>
    <xf numFmtId="3" fontId="11" fillId="0" borderId="0" xfId="11" applyNumberFormat="1" applyFont="1" applyBorder="1"/>
    <xf numFmtId="3" fontId="11" fillId="2" borderId="88" xfId="11" applyNumberFormat="1" applyFont="1" applyFill="1" applyBorder="1" applyAlignment="1">
      <alignment horizontal="left"/>
    </xf>
    <xf numFmtId="3" fontId="11" fillId="2" borderId="4" xfId="11" applyNumberFormat="1" applyFont="1" applyFill="1" applyBorder="1"/>
    <xf numFmtId="3" fontId="11" fillId="2" borderId="24" xfId="11" applyNumberFormat="1" applyFont="1" applyFill="1" applyBorder="1"/>
    <xf numFmtId="3" fontId="11" fillId="0" borderId="30" xfId="1" applyNumberFormat="1" applyFont="1" applyBorder="1"/>
    <xf numFmtId="3" fontId="11" fillId="0" borderId="22" xfId="1" applyNumberFormat="1" applyFont="1" applyBorder="1"/>
    <xf numFmtId="3" fontId="11" fillId="0" borderId="24" xfId="1" applyNumberFormat="1" applyFont="1" applyBorder="1"/>
    <xf numFmtId="3" fontId="11" fillId="0" borderId="46" xfId="1" applyNumberFormat="1" applyFont="1" applyBorder="1"/>
    <xf numFmtId="3" fontId="11" fillId="2" borderId="24" xfId="1" applyNumberFormat="1" applyFont="1" applyFill="1" applyBorder="1"/>
    <xf numFmtId="3" fontId="11" fillId="2" borderId="63" xfId="11" applyNumberFormat="1" applyFont="1" applyFill="1" applyBorder="1" applyAlignment="1">
      <alignment horizontal="center"/>
    </xf>
    <xf numFmtId="3" fontId="11" fillId="0" borderId="0" xfId="11" applyNumberFormat="1" applyFont="1" applyAlignment="1">
      <alignment horizontal="center"/>
    </xf>
    <xf numFmtId="0" fontId="7" fillId="0" borderId="0" xfId="11" applyFont="1" applyFill="1" applyAlignment="1">
      <alignment horizontal="center" vertical="center"/>
    </xf>
    <xf numFmtId="0" fontId="7" fillId="0" borderId="0" xfId="11" applyFont="1" applyFill="1"/>
    <xf numFmtId="0" fontId="7" fillId="0" borderId="0" xfId="0" applyFont="1" applyFill="1"/>
    <xf numFmtId="0" fontId="12" fillId="0" borderId="0" xfId="11" applyFont="1" applyFill="1" applyAlignment="1">
      <alignment horizontal="center" vertical="center"/>
    </xf>
    <xf numFmtId="0" fontId="21" fillId="0" borderId="0" xfId="0" applyFont="1" applyFill="1"/>
    <xf numFmtId="0" fontId="12" fillId="0" borderId="0" xfId="0" applyFont="1" applyFill="1" applyAlignment="1">
      <alignment horizontal="center" vertical="center"/>
    </xf>
    <xf numFmtId="166" fontId="11" fillId="0" borderId="34" xfId="0" applyNumberFormat="1" applyFont="1" applyBorder="1"/>
    <xf numFmtId="166" fontId="11" fillId="0" borderId="41" xfId="0" applyNumberFormat="1" applyFont="1" applyBorder="1"/>
    <xf numFmtId="166" fontId="11" fillId="0" borderId="10" xfId="0" applyNumberFormat="1" applyFont="1" applyBorder="1"/>
    <xf numFmtId="3" fontId="12" fillId="0" borderId="0" xfId="0" applyNumberFormat="1" applyFont="1"/>
    <xf numFmtId="164" fontId="12" fillId="0" borderId="0" xfId="0" applyNumberFormat="1" applyFont="1"/>
    <xf numFmtId="166" fontId="12" fillId="0" borderId="0" xfId="0" applyNumberFormat="1" applyFont="1"/>
    <xf numFmtId="166" fontId="7" fillId="0" borderId="0" xfId="0" applyNumberFormat="1" applyFont="1"/>
    <xf numFmtId="166" fontId="9" fillId="0" borderId="0" xfId="0" applyNumberFormat="1" applyFont="1"/>
    <xf numFmtId="166" fontId="11" fillId="0" borderId="0" xfId="0" applyNumberFormat="1" applyFont="1"/>
    <xf numFmtId="3" fontId="12" fillId="0" borderId="0" xfId="0" applyNumberFormat="1" applyFont="1" applyFill="1"/>
    <xf numFmtId="3" fontId="15" fillId="0" borderId="101" xfId="0" applyNumberFormat="1" applyFont="1" applyBorder="1"/>
    <xf numFmtId="3" fontId="16" fillId="0" borderId="61" xfId="0" applyNumberFormat="1" applyFont="1" applyBorder="1"/>
    <xf numFmtId="3" fontId="4" fillId="0" borderId="0" xfId="11" applyNumberFormat="1" applyFont="1" applyFill="1" applyProtection="1">
      <protection locked="0"/>
    </xf>
    <xf numFmtId="3" fontId="4" fillId="0" borderId="0" xfId="11" applyNumberFormat="1" applyFont="1" applyFill="1"/>
    <xf numFmtId="3" fontId="6" fillId="0" borderId="0" xfId="11" applyNumberFormat="1" applyFill="1"/>
    <xf numFmtId="3" fontId="3" fillId="0" borderId="0" xfId="11" applyNumberFormat="1" applyFont="1" applyFill="1" applyProtection="1"/>
    <xf numFmtId="3" fontId="4" fillId="0" borderId="0" xfId="11" applyNumberFormat="1" applyFont="1" applyFill="1" applyProtection="1"/>
    <xf numFmtId="3" fontId="6" fillId="0" borderId="0" xfId="11" applyNumberFormat="1" applyFill="1" applyProtection="1">
      <protection locked="0"/>
    </xf>
    <xf numFmtId="3" fontId="27" fillId="0" borderId="0" xfId="11" applyNumberFormat="1" applyFont="1" applyFill="1"/>
    <xf numFmtId="3" fontId="28" fillId="0" borderId="0" xfId="11" applyNumberFormat="1" applyFont="1" applyFill="1"/>
    <xf numFmtId="3" fontId="29" fillId="0" borderId="11" xfId="11" applyNumberFormat="1" applyFont="1" applyFill="1" applyBorder="1" applyAlignment="1">
      <alignment horizontal="center" vertical="center" wrapText="1"/>
    </xf>
    <xf numFmtId="3" fontId="29" fillId="0" borderId="10" xfId="11" applyNumberFormat="1" applyFont="1" applyFill="1" applyBorder="1" applyAlignment="1">
      <alignment horizontal="center" vertical="center" wrapText="1"/>
    </xf>
    <xf numFmtId="3" fontId="29" fillId="0" borderId="9" xfId="11" applyNumberFormat="1" applyFont="1" applyFill="1" applyBorder="1" applyAlignment="1">
      <alignment horizontal="center" vertical="center" wrapText="1"/>
    </xf>
    <xf numFmtId="3" fontId="30" fillId="0" borderId="0" xfId="11" applyNumberFormat="1" applyFont="1" applyFill="1" applyAlignment="1">
      <alignment horizontal="center" vertical="center" wrapText="1"/>
    </xf>
    <xf numFmtId="3" fontId="8" fillId="0" borderId="60" xfId="11" applyNumberFormat="1" applyFont="1" applyFill="1" applyBorder="1" applyAlignment="1">
      <alignment horizontal="center" vertical="center"/>
    </xf>
    <xf numFmtId="3" fontId="8" fillId="0" borderId="16" xfId="11" applyNumberFormat="1" applyFont="1" applyFill="1" applyBorder="1" applyAlignment="1">
      <alignment vertical="center" wrapText="1"/>
    </xf>
    <xf numFmtId="3" fontId="8" fillId="0" borderId="16" xfId="11" applyNumberFormat="1" applyFont="1" applyFill="1" applyBorder="1" applyAlignment="1" applyProtection="1">
      <alignment vertical="center"/>
      <protection locked="0"/>
    </xf>
    <xf numFmtId="3" fontId="31" fillId="0" borderId="17" xfId="11" applyNumberFormat="1" applyFont="1" applyFill="1" applyBorder="1" applyAlignment="1">
      <alignment vertical="center"/>
    </xf>
    <xf numFmtId="3" fontId="8" fillId="0" borderId="62" xfId="11" applyNumberFormat="1" applyFont="1" applyFill="1" applyBorder="1" applyAlignment="1">
      <alignment horizontal="center" vertical="center"/>
    </xf>
    <xf numFmtId="3" fontId="8" fillId="0" borderId="2" xfId="11" applyNumberFormat="1" applyFont="1" applyFill="1" applyBorder="1" applyAlignment="1">
      <alignment vertical="center" wrapText="1"/>
    </xf>
    <xf numFmtId="3" fontId="8" fillId="0" borderId="2" xfId="11" applyNumberFormat="1" applyFont="1" applyFill="1" applyBorder="1" applyAlignment="1" applyProtection="1">
      <alignment vertical="center"/>
      <protection locked="0"/>
    </xf>
    <xf numFmtId="3" fontId="31" fillId="0" borderId="18" xfId="11" applyNumberFormat="1" applyFont="1" applyFill="1" applyBorder="1" applyAlignment="1">
      <alignment vertical="center"/>
    </xf>
    <xf numFmtId="3" fontId="8" fillId="0" borderId="63" xfId="11" applyNumberFormat="1" applyFont="1" applyFill="1" applyBorder="1" applyAlignment="1">
      <alignment horizontal="center" vertical="center"/>
    </xf>
    <xf numFmtId="3" fontId="8" fillId="0" borderId="25" xfId="11" applyNumberFormat="1" applyFont="1" applyFill="1" applyBorder="1" applyAlignment="1">
      <alignment vertical="center" wrapText="1"/>
    </xf>
    <xf numFmtId="3" fontId="8" fillId="0" borderId="25" xfId="11" applyNumberFormat="1" applyFont="1" applyFill="1" applyBorder="1" applyAlignment="1" applyProtection="1">
      <alignment vertical="center"/>
      <protection locked="0"/>
    </xf>
    <xf numFmtId="3" fontId="31" fillId="0" borderId="26" xfId="11" applyNumberFormat="1" applyFont="1" applyFill="1" applyBorder="1" applyAlignment="1">
      <alignment vertical="center"/>
    </xf>
    <xf numFmtId="3" fontId="31" fillId="0" borderId="11" xfId="11" applyNumberFormat="1" applyFont="1" applyFill="1" applyBorder="1" applyAlignment="1">
      <alignment horizontal="center" vertical="center"/>
    </xf>
    <xf numFmtId="3" fontId="31" fillId="0" borderId="10" xfId="11" applyNumberFormat="1" applyFont="1" applyFill="1" applyBorder="1" applyAlignment="1">
      <alignment vertical="center"/>
    </xf>
    <xf numFmtId="3" fontId="31" fillId="0" borderId="9" xfId="11" applyNumberFormat="1" applyFont="1" applyFill="1" applyBorder="1" applyAlignment="1">
      <alignment vertical="center"/>
    </xf>
    <xf numFmtId="3" fontId="30" fillId="0" borderId="0" xfId="11" applyNumberFormat="1" applyFont="1" applyFill="1"/>
    <xf numFmtId="3" fontId="6" fillId="0" borderId="0" xfId="11" applyNumberFormat="1" applyFill="1" applyAlignment="1">
      <alignment horizontal="center"/>
    </xf>
    <xf numFmtId="3" fontId="6" fillId="0" borderId="102" xfId="11" applyNumberFormat="1" applyFill="1" applyBorder="1" applyAlignment="1"/>
    <xf numFmtId="3" fontId="32" fillId="0" borderId="102" xfId="11" applyNumberFormat="1" applyFont="1" applyFill="1" applyBorder="1" applyAlignment="1"/>
    <xf numFmtId="3" fontId="6" fillId="0" borderId="0" xfId="11" applyNumberFormat="1" applyFill="1" applyBorder="1"/>
    <xf numFmtId="3" fontId="32" fillId="0" borderId="0" xfId="11" applyNumberFormat="1" applyFont="1" applyFill="1" applyBorder="1" applyAlignment="1">
      <alignment horizontal="center"/>
    </xf>
    <xf numFmtId="0" fontId="33" fillId="0" borderId="0" xfId="11" applyFont="1"/>
    <xf numFmtId="3" fontId="19" fillId="0" borderId="0" xfId="31" applyNumberFormat="1" applyFont="1" applyFill="1" applyAlignment="1">
      <alignment horizontal="right" vertical="top"/>
    </xf>
    <xf numFmtId="0" fontId="16" fillId="0" borderId="0" xfId="11" applyNumberFormat="1" applyFont="1" applyAlignment="1">
      <alignment vertical="top"/>
    </xf>
    <xf numFmtId="3" fontId="16" fillId="0" borderId="0" xfId="11" applyNumberFormat="1" applyFont="1" applyAlignment="1">
      <alignment vertical="top"/>
    </xf>
    <xf numFmtId="3" fontId="18" fillId="0" borderId="0" xfId="11" applyNumberFormat="1" applyFont="1" applyFill="1" applyAlignment="1">
      <alignment horizontal="right" vertical="top"/>
    </xf>
    <xf numFmtId="3" fontId="16" fillId="0" borderId="0" xfId="11" applyNumberFormat="1" applyFont="1" applyAlignment="1">
      <alignment vertical="top" wrapText="1"/>
    </xf>
    <xf numFmtId="0" fontId="15" fillId="0" borderId="0" xfId="11" applyNumberFormat="1" applyFont="1" applyAlignment="1">
      <alignment vertical="top"/>
    </xf>
    <xf numFmtId="0" fontId="19" fillId="0" borderId="0" xfId="11" applyNumberFormat="1" applyFont="1" applyAlignment="1">
      <alignment vertical="top"/>
    </xf>
    <xf numFmtId="49" fontId="19" fillId="0" borderId="0" xfId="11" applyNumberFormat="1" applyFont="1" applyAlignment="1">
      <alignment horizontal="center" vertical="top"/>
    </xf>
    <xf numFmtId="49" fontId="15" fillId="0" borderId="0" xfId="11" applyNumberFormat="1" applyFont="1" applyAlignment="1">
      <alignment horizontal="center" vertical="top"/>
    </xf>
    <xf numFmtId="49" fontId="16" fillId="0" borderId="0" xfId="11" applyNumberFormat="1" applyFont="1" applyAlignment="1">
      <alignment horizontal="center" vertical="top" wrapText="1"/>
    </xf>
    <xf numFmtId="49" fontId="16" fillId="0" borderId="0" xfId="11" applyNumberFormat="1" applyFont="1" applyAlignment="1">
      <alignment horizontal="center" vertical="top"/>
    </xf>
    <xf numFmtId="3" fontId="7" fillId="0" borderId="0" xfId="11" applyNumberFormat="1" applyFont="1" applyAlignment="1">
      <alignment horizontal="center"/>
    </xf>
    <xf numFmtId="3" fontId="7" fillId="0" borderId="0" xfId="11" applyNumberFormat="1" applyFont="1"/>
    <xf numFmtId="3" fontId="9" fillId="0" borderId="0" xfId="11" applyNumberFormat="1" applyFont="1"/>
    <xf numFmtId="3" fontId="9" fillId="0" borderId="0" xfId="11" applyNumberFormat="1" applyFont="1" applyAlignment="1">
      <alignment horizontal="center"/>
    </xf>
    <xf numFmtId="0" fontId="35" fillId="0" borderId="0" xfId="32" applyFont="1" applyAlignment="1"/>
    <xf numFmtId="0" fontId="33" fillId="0" borderId="0" xfId="32" applyFont="1"/>
    <xf numFmtId="0" fontId="33" fillId="0" borderId="0" xfId="32" applyFont="1" applyAlignment="1">
      <alignment wrapText="1"/>
    </xf>
    <xf numFmtId="0" fontId="35" fillId="0" borderId="0" xfId="32" applyFont="1"/>
    <xf numFmtId="0" fontId="35" fillId="0" borderId="0" xfId="32" applyFont="1" applyAlignment="1">
      <alignment horizontal="left" vertical="top" wrapText="1"/>
    </xf>
    <xf numFmtId="0" fontId="35" fillId="0" borderId="0" xfId="32" applyFont="1" applyAlignment="1">
      <alignment wrapText="1"/>
    </xf>
    <xf numFmtId="0" fontId="33" fillId="0" borderId="0" xfId="32" applyFont="1" applyAlignment="1">
      <alignment horizontal="left" vertical="top" wrapText="1"/>
    </xf>
    <xf numFmtId="0" fontId="33" fillId="0" borderId="0" xfId="32" applyFont="1" applyAlignment="1"/>
    <xf numFmtId="0" fontId="33" fillId="0" borderId="0" xfId="32" applyFont="1" applyFill="1" applyAlignment="1">
      <alignment horizontal="left" vertical="top" wrapText="1"/>
    </xf>
    <xf numFmtId="0" fontId="33" fillId="0" borderId="0" xfId="30" applyFont="1" applyAlignment="1"/>
    <xf numFmtId="0" fontId="33" fillId="0" borderId="0" xfId="28" applyFont="1"/>
    <xf numFmtId="0" fontId="33" fillId="0" borderId="0" xfId="28" applyFont="1" applyAlignment="1">
      <alignment wrapText="1"/>
    </xf>
    <xf numFmtId="0" fontId="35" fillId="0" borderId="0" xfId="32" applyFont="1" applyFill="1" applyAlignment="1">
      <alignment horizontal="left" vertical="top" wrapText="1"/>
    </xf>
    <xf numFmtId="0" fontId="33" fillId="0" borderId="0" xfId="0" applyFont="1"/>
    <xf numFmtId="0" fontId="12" fillId="0" borderId="25" xfId="11" applyFont="1" applyBorder="1" applyAlignment="1">
      <alignment horizontal="center" wrapText="1"/>
    </xf>
    <xf numFmtId="0" fontId="12" fillId="0" borderId="26" xfId="11" applyFont="1" applyBorder="1" applyAlignment="1">
      <alignment horizontal="center"/>
    </xf>
    <xf numFmtId="0" fontId="12" fillId="0" borderId="80" xfId="11" applyFont="1" applyBorder="1" applyAlignment="1">
      <alignment wrapText="1"/>
    </xf>
    <xf numFmtId="3" fontId="12" fillId="0" borderId="80" xfId="11" applyNumberFormat="1" applyFont="1" applyBorder="1" applyAlignment="1">
      <alignment wrapText="1"/>
    </xf>
    <xf numFmtId="3" fontId="12" fillId="0" borderId="67" xfId="11" applyNumberFormat="1" applyFont="1" applyBorder="1" applyAlignment="1">
      <alignment wrapText="1"/>
    </xf>
    <xf numFmtId="0" fontId="12" fillId="0" borderId="81" xfId="11" applyFont="1" applyBorder="1" applyAlignment="1">
      <alignment wrapText="1"/>
    </xf>
    <xf numFmtId="0" fontId="11" fillId="0" borderId="65" xfId="11" applyFont="1" applyBorder="1" applyAlignment="1">
      <alignment wrapText="1"/>
    </xf>
    <xf numFmtId="3" fontId="11" fillId="0" borderId="65" xfId="11" applyNumberFormat="1" applyFont="1" applyBorder="1" applyAlignment="1">
      <alignment wrapText="1"/>
    </xf>
    <xf numFmtId="3" fontId="11" fillId="0" borderId="64" xfId="11" applyNumberFormat="1" applyFont="1" applyBorder="1" applyAlignment="1">
      <alignment wrapText="1"/>
    </xf>
    <xf numFmtId="3" fontId="12" fillId="0" borderId="81" xfId="11" applyNumberFormat="1" applyFont="1" applyBorder="1" applyAlignment="1">
      <alignment wrapText="1"/>
    </xf>
    <xf numFmtId="3" fontId="12" fillId="0" borderId="71" xfId="11" applyNumberFormat="1" applyFont="1" applyBorder="1" applyAlignment="1">
      <alignment wrapText="1"/>
    </xf>
    <xf numFmtId="0" fontId="12" fillId="0" borderId="82" xfId="11" applyFont="1" applyBorder="1" applyAlignment="1">
      <alignment wrapText="1"/>
    </xf>
    <xf numFmtId="3" fontId="12" fillId="0" borderId="75" xfId="11" applyNumberFormat="1" applyFont="1" applyBorder="1" applyAlignment="1">
      <alignment wrapText="1"/>
    </xf>
    <xf numFmtId="3" fontId="12" fillId="0" borderId="82" xfId="11" applyNumberFormat="1" applyFont="1" applyBorder="1" applyAlignment="1">
      <alignment wrapText="1"/>
    </xf>
    <xf numFmtId="0" fontId="11" fillId="0" borderId="83" xfId="11" applyFont="1" applyBorder="1" applyAlignment="1">
      <alignment wrapText="1"/>
    </xf>
    <xf numFmtId="3" fontId="11" fillId="0" borderId="83" xfId="11" applyNumberFormat="1" applyFont="1" applyBorder="1" applyAlignment="1">
      <alignment wrapText="1"/>
    </xf>
    <xf numFmtId="3" fontId="11" fillId="0" borderId="78" xfId="11" applyNumberFormat="1" applyFont="1" applyBorder="1" applyAlignment="1">
      <alignment wrapText="1"/>
    </xf>
    <xf numFmtId="0" fontId="11" fillId="0" borderId="0" xfId="11" applyFont="1" applyAlignment="1">
      <alignment horizontal="center" vertical="center" wrapText="1"/>
    </xf>
    <xf numFmtId="0" fontId="36" fillId="0" borderId="0" xfId="31" applyFont="1" applyFill="1"/>
    <xf numFmtId="0" fontId="11" fillId="0" borderId="0" xfId="31" applyFont="1" applyFill="1"/>
    <xf numFmtId="0" fontId="9" fillId="0" borderId="0" xfId="11" applyFont="1"/>
    <xf numFmtId="10" fontId="15" fillId="0" borderId="0" xfId="36" applyNumberFormat="1" applyFont="1"/>
    <xf numFmtId="3" fontId="17" fillId="0" borderId="0" xfId="0" applyNumberFormat="1" applyFont="1" applyBorder="1"/>
    <xf numFmtId="3" fontId="17" fillId="0" borderId="0" xfId="0" applyNumberFormat="1" applyFont="1" applyBorder="1" applyAlignment="1">
      <alignment horizontal="center"/>
    </xf>
    <xf numFmtId="3" fontId="18" fillId="0" borderId="0" xfId="0" applyNumberFormat="1" applyFont="1" applyBorder="1" applyAlignment="1">
      <alignment horizontal="center"/>
    </xf>
    <xf numFmtId="0" fontId="37" fillId="0" borderId="98" xfId="11" applyFont="1" applyBorder="1" applyAlignment="1"/>
    <xf numFmtId="0" fontId="37" fillId="0" borderId="63" xfId="11" applyFont="1" applyBorder="1" applyAlignment="1"/>
    <xf numFmtId="3" fontId="37" fillId="0" borderId="26" xfId="11" applyNumberFormat="1" applyFont="1" applyBorder="1" applyAlignment="1"/>
    <xf numFmtId="0" fontId="38" fillId="0" borderId="11" xfId="11" applyFont="1" applyBorder="1" applyAlignment="1"/>
    <xf numFmtId="0" fontId="38" fillId="0" borderId="9" xfId="11" applyFont="1" applyBorder="1" applyAlignment="1"/>
    <xf numFmtId="0" fontId="37" fillId="0" borderId="60" xfId="11" applyFont="1" applyBorder="1" applyAlignment="1"/>
    <xf numFmtId="0" fontId="37" fillId="0" borderId="17" xfId="11" applyFont="1" applyBorder="1" applyAlignment="1"/>
    <xf numFmtId="0" fontId="37" fillId="0" borderId="62" xfId="11" applyFont="1" applyBorder="1" applyAlignment="1"/>
    <xf numFmtId="0" fontId="37" fillId="0" borderId="18" xfId="11" applyFont="1" applyBorder="1" applyAlignment="1"/>
    <xf numFmtId="0" fontId="37" fillId="0" borderId="26" xfId="11" applyFont="1" applyBorder="1" applyAlignment="1"/>
    <xf numFmtId="0" fontId="37" fillId="0" borderId="89" xfId="11" applyFont="1" applyBorder="1" applyAlignment="1"/>
    <xf numFmtId="0" fontId="37" fillId="0" borderId="36" xfId="11" applyFont="1" applyBorder="1" applyAlignment="1"/>
    <xf numFmtId="0" fontId="38" fillId="0" borderId="11" xfId="11" applyFont="1" applyFill="1" applyBorder="1" applyAlignment="1"/>
    <xf numFmtId="3" fontId="15" fillId="0" borderId="2" xfId="11" applyNumberFormat="1" applyFont="1" applyBorder="1" applyAlignment="1">
      <alignment vertical="top" wrapText="1"/>
    </xf>
    <xf numFmtId="0" fontId="39" fillId="0" borderId="0" xfId="11" applyNumberFormat="1" applyFont="1" applyAlignment="1">
      <alignment vertical="top"/>
    </xf>
    <xf numFmtId="3" fontId="15" fillId="2" borderId="2" xfId="1" applyNumberFormat="1" applyFont="1" applyFill="1" applyBorder="1" applyAlignment="1">
      <alignment horizontal="right" vertical="top" wrapText="1"/>
    </xf>
    <xf numFmtId="0" fontId="11" fillId="0" borderId="48" xfId="11" applyFont="1" applyFill="1" applyBorder="1" applyAlignment="1">
      <alignment horizontal="left"/>
    </xf>
    <xf numFmtId="164" fontId="11" fillId="0" borderId="48" xfId="11" applyNumberFormat="1" applyFont="1" applyFill="1" applyBorder="1" applyAlignment="1"/>
    <xf numFmtId="164" fontId="11" fillId="0" borderId="21" xfId="11" applyNumberFormat="1" applyFont="1" applyFill="1" applyBorder="1" applyAlignment="1"/>
    <xf numFmtId="164" fontId="12" fillId="0" borderId="0" xfId="0" applyNumberFormat="1" applyFont="1" applyFill="1"/>
    <xf numFmtId="166" fontId="12" fillId="0" borderId="0" xfId="0" applyNumberFormat="1" applyFont="1" applyFill="1"/>
    <xf numFmtId="0" fontId="11" fillId="0" borderId="49" xfId="11" applyFont="1" applyFill="1" applyBorder="1" applyAlignment="1">
      <alignment horizontal="left"/>
    </xf>
    <xf numFmtId="3" fontId="12" fillId="0" borderId="94" xfId="11" applyNumberFormat="1" applyFont="1" applyFill="1" applyBorder="1" applyAlignment="1" applyProtection="1">
      <alignment vertical="center" wrapText="1"/>
      <protection locked="0"/>
    </xf>
    <xf numFmtId="49" fontId="12" fillId="0" borderId="89" xfId="11" applyNumberFormat="1" applyFont="1" applyFill="1" applyBorder="1" applyAlignment="1">
      <alignment horizontal="center" vertical="center" wrapText="1"/>
    </xf>
    <xf numFmtId="3" fontId="12" fillId="0" borderId="37" xfId="11" applyNumberFormat="1" applyFont="1" applyFill="1" applyBorder="1" applyAlignment="1" applyProtection="1">
      <alignment horizontal="left" vertical="center" wrapText="1" indent="1"/>
      <protection locked="0"/>
    </xf>
    <xf numFmtId="3" fontId="12" fillId="0" borderId="37" xfId="11" applyNumberFormat="1" applyFont="1" applyFill="1" applyBorder="1" applyAlignment="1" applyProtection="1">
      <alignment vertical="center" wrapText="1"/>
      <protection locked="0"/>
    </xf>
    <xf numFmtId="3" fontId="12" fillId="0" borderId="36" xfId="11" applyNumberFormat="1" applyFont="1" applyFill="1" applyBorder="1" applyAlignment="1" applyProtection="1">
      <alignment vertical="center" wrapText="1"/>
      <protection locked="0"/>
    </xf>
    <xf numFmtId="3" fontId="17" fillId="0" borderId="20" xfId="0" applyNumberFormat="1" applyFont="1" applyFill="1" applyBorder="1"/>
    <xf numFmtId="3" fontId="17" fillId="0" borderId="2" xfId="0" applyNumberFormat="1" applyFont="1" applyFill="1" applyBorder="1"/>
    <xf numFmtId="3" fontId="17" fillId="0" borderId="18" xfId="0" applyNumberFormat="1" applyFont="1" applyFill="1" applyBorder="1"/>
    <xf numFmtId="0" fontId="41" fillId="0" borderId="0" xfId="0" applyFont="1" applyFill="1"/>
    <xf numFmtId="0" fontId="42" fillId="0" borderId="0" xfId="0" applyFont="1" applyFill="1"/>
    <xf numFmtId="0" fontId="37" fillId="0" borderId="89" xfId="11" applyFont="1" applyBorder="1" applyAlignment="1">
      <alignment horizontal="center"/>
    </xf>
    <xf numFmtId="0" fontId="37" fillId="0" borderId="36" xfId="11" applyFont="1" applyBorder="1" applyAlignment="1">
      <alignment horizontal="center"/>
    </xf>
    <xf numFmtId="9" fontId="37" fillId="0" borderId="89" xfId="11" applyNumberFormat="1" applyFont="1" applyBorder="1" applyAlignment="1">
      <alignment horizontal="center"/>
    </xf>
    <xf numFmtId="9" fontId="37" fillId="0" borderId="36" xfId="11" applyNumberFormat="1" applyFont="1" applyBorder="1" applyAlignment="1">
      <alignment horizontal="center"/>
    </xf>
    <xf numFmtId="0" fontId="37" fillId="0" borderId="32" xfId="11" applyFont="1" applyBorder="1" applyAlignment="1"/>
    <xf numFmtId="0" fontId="38" fillId="0" borderId="9" xfId="11" applyFont="1" applyFill="1" applyBorder="1" applyAlignment="1"/>
    <xf numFmtId="3" fontId="12" fillId="0" borderId="90" xfId="11" applyNumberFormat="1" applyFont="1" applyBorder="1" applyAlignment="1">
      <alignment horizontal="left" indent="1"/>
    </xf>
    <xf numFmtId="3" fontId="11" fillId="0" borderId="21" xfId="1" applyNumberFormat="1" applyFont="1" applyBorder="1"/>
    <xf numFmtId="3" fontId="11" fillId="0" borderId="21" xfId="11" applyNumberFormat="1" applyFont="1" applyBorder="1"/>
    <xf numFmtId="165" fontId="11" fillId="0" borderId="47" xfId="11" applyNumberFormat="1" applyFont="1" applyFill="1" applyBorder="1" applyAlignment="1">
      <alignment horizontal="center" vertical="center" wrapText="1"/>
    </xf>
    <xf numFmtId="165" fontId="11" fillId="0" borderId="92" xfId="11" applyNumberFormat="1" applyFont="1" applyFill="1" applyBorder="1" applyAlignment="1" applyProtection="1">
      <alignment horizontal="center" vertical="center" wrapText="1"/>
    </xf>
    <xf numFmtId="165" fontId="11" fillId="0" borderId="57" xfId="11" applyNumberFormat="1" applyFont="1" applyFill="1" applyBorder="1" applyAlignment="1" applyProtection="1">
      <alignment vertical="center" wrapText="1"/>
    </xf>
    <xf numFmtId="165" fontId="12" fillId="0" borderId="49" xfId="11" applyNumberFormat="1" applyFont="1" applyFill="1" applyBorder="1" applyAlignment="1" applyProtection="1">
      <alignment vertical="center" wrapText="1"/>
      <protection locked="0"/>
    </xf>
    <xf numFmtId="165" fontId="11" fillId="0" borderId="47" xfId="11" applyNumberFormat="1" applyFont="1" applyFill="1" applyBorder="1" applyAlignment="1" applyProtection="1">
      <alignment vertical="center" wrapText="1"/>
      <protection locked="0"/>
    </xf>
    <xf numFmtId="165" fontId="11" fillId="0" borderId="55" xfId="11" applyNumberFormat="1" applyFont="1" applyFill="1" applyBorder="1" applyAlignment="1" applyProtection="1">
      <alignment vertical="center" wrapText="1"/>
      <protection locked="0"/>
    </xf>
    <xf numFmtId="165" fontId="10" fillId="0" borderId="92" xfId="11" applyNumberFormat="1" applyFont="1" applyFill="1" applyBorder="1" applyAlignment="1" applyProtection="1">
      <alignment vertical="center" wrapText="1"/>
      <protection locked="0"/>
    </xf>
    <xf numFmtId="165" fontId="11" fillId="0" borderId="92" xfId="11" applyNumberFormat="1" applyFont="1" applyFill="1" applyBorder="1" applyAlignment="1">
      <alignment vertical="center" wrapText="1"/>
    </xf>
    <xf numFmtId="165" fontId="11" fillId="0" borderId="1" xfId="11" applyNumberFormat="1" applyFont="1" applyFill="1" applyBorder="1" applyAlignment="1" applyProtection="1">
      <alignment horizontal="center" vertical="center" wrapText="1"/>
    </xf>
    <xf numFmtId="14" fontId="12" fillId="0" borderId="20" xfId="11" applyNumberFormat="1" applyFont="1" applyFill="1" applyBorder="1" applyAlignment="1" applyProtection="1">
      <alignment horizontal="center" vertical="center" wrapText="1"/>
      <protection locked="0"/>
    </xf>
    <xf numFmtId="14" fontId="12" fillId="0" borderId="6" xfId="11" applyNumberFormat="1" applyFont="1" applyFill="1" applyBorder="1" applyAlignment="1" applyProtection="1">
      <alignment horizontal="center" vertical="center" wrapText="1"/>
      <protection locked="0"/>
    </xf>
    <xf numFmtId="14" fontId="10" fillId="0" borderId="27" xfId="11" applyNumberFormat="1" applyFont="1" applyFill="1" applyBorder="1" applyAlignment="1" applyProtection="1">
      <alignment horizontal="center" vertical="center" wrapText="1"/>
      <protection locked="0"/>
    </xf>
    <xf numFmtId="165" fontId="11" fillId="0" borderId="34" xfId="11" applyNumberFormat="1" applyFont="1" applyFill="1" applyBorder="1" applyAlignment="1">
      <alignment horizontal="center" vertical="center" wrapText="1"/>
    </xf>
    <xf numFmtId="165" fontId="11" fillId="0" borderId="35" xfId="11" applyNumberFormat="1" applyFont="1" applyFill="1" applyBorder="1" applyAlignment="1" applyProtection="1">
      <alignment horizontal="center" vertical="center" wrapText="1"/>
    </xf>
    <xf numFmtId="165" fontId="11" fillId="0" borderId="48" xfId="11" applyNumberFormat="1" applyFont="1" applyFill="1" applyBorder="1" applyAlignment="1" applyProtection="1">
      <alignment vertical="center" wrapText="1"/>
    </xf>
    <xf numFmtId="165" fontId="11" fillId="0" borderId="40" xfId="11" applyNumberFormat="1" applyFont="1" applyFill="1" applyBorder="1" applyAlignment="1" applyProtection="1">
      <alignment horizontal="center" vertical="center" wrapText="1"/>
    </xf>
    <xf numFmtId="165" fontId="12" fillId="0" borderId="34" xfId="11" applyNumberFormat="1" applyFont="1" applyFill="1" applyBorder="1" applyAlignment="1">
      <alignment vertical="center" wrapText="1"/>
    </xf>
    <xf numFmtId="49" fontId="15" fillId="0" borderId="0" xfId="11" applyNumberFormat="1" applyFont="1" applyAlignment="1">
      <alignment horizontal="center" vertical="top" wrapText="1"/>
    </xf>
    <xf numFmtId="0" fontId="15" fillId="0" borderId="0" xfId="11" applyNumberFormat="1" applyFont="1" applyAlignment="1">
      <alignment vertical="top" wrapText="1"/>
    </xf>
    <xf numFmtId="3" fontId="15" fillId="0" borderId="0" xfId="11" applyNumberFormat="1" applyFont="1" applyBorder="1" applyAlignment="1">
      <alignment vertical="top" wrapText="1"/>
    </xf>
    <xf numFmtId="3" fontId="15" fillId="2" borderId="34" xfId="11" applyNumberFormat="1" applyFont="1" applyFill="1" applyBorder="1" applyAlignment="1">
      <alignment vertical="top" wrapText="1"/>
    </xf>
    <xf numFmtId="3" fontId="15" fillId="0" borderId="0" xfId="11" applyNumberFormat="1" applyFont="1" applyFill="1" applyBorder="1" applyAlignment="1">
      <alignment vertical="top" wrapText="1"/>
    </xf>
    <xf numFmtId="3" fontId="11" fillId="0" borderId="0" xfId="33" applyNumberFormat="1" applyFont="1" applyFill="1" applyBorder="1" applyAlignment="1" applyProtection="1">
      <alignment horizontal="center" vertical="center"/>
    </xf>
    <xf numFmtId="3" fontId="11" fillId="0" borderId="0" xfId="33" applyNumberFormat="1" applyFont="1" applyFill="1" applyBorder="1" applyAlignment="1" applyProtection="1">
      <alignment vertical="center"/>
    </xf>
    <xf numFmtId="3" fontId="11" fillId="0" borderId="0" xfId="33" applyNumberFormat="1" applyFont="1" applyFill="1" applyBorder="1" applyAlignment="1" applyProtection="1"/>
    <xf numFmtId="3" fontId="8" fillId="0" borderId="0" xfId="33" applyNumberFormat="1" applyFont="1" applyFill="1" applyProtection="1">
      <protection locked="0"/>
    </xf>
    <xf numFmtId="3" fontId="44" fillId="0" borderId="96" xfId="26" applyNumberFormat="1" applyFont="1" applyBorder="1"/>
    <xf numFmtId="3" fontId="44" fillId="0" borderId="86" xfId="26" applyNumberFormat="1" applyFont="1" applyBorder="1"/>
    <xf numFmtId="3" fontId="44" fillId="0" borderId="51" xfId="26" applyNumberFormat="1" applyFont="1" applyBorder="1"/>
    <xf numFmtId="3" fontId="44" fillId="0" borderId="50" xfId="26" applyNumberFormat="1" applyFont="1" applyBorder="1"/>
    <xf numFmtId="3" fontId="44" fillId="0" borderId="101" xfId="26" applyNumberFormat="1" applyFont="1" applyBorder="1"/>
    <xf numFmtId="3" fontId="8" fillId="0" borderId="0" xfId="33" applyNumberFormat="1" applyFont="1" applyFill="1" applyProtection="1"/>
    <xf numFmtId="3" fontId="44" fillId="0" borderId="48" xfId="26" applyNumberFormat="1" applyFont="1" applyBorder="1"/>
    <xf numFmtId="3" fontId="44" fillId="0" borderId="61" xfId="26" applyNumberFormat="1" applyFont="1" applyBorder="1"/>
    <xf numFmtId="3" fontId="44" fillId="0" borderId="38" xfId="26" applyNumberFormat="1" applyFont="1" applyBorder="1"/>
    <xf numFmtId="3" fontId="44" fillId="0" borderId="39" xfId="26" applyNumberFormat="1" applyFont="1" applyBorder="1"/>
    <xf numFmtId="3" fontId="8" fillId="0" borderId="0" xfId="33" applyNumberFormat="1" applyFont="1" applyFill="1" applyAlignment="1" applyProtection="1">
      <alignment vertical="center"/>
    </xf>
    <xf numFmtId="3" fontId="44" fillId="0" borderId="49" xfId="26" applyNumberFormat="1" applyFont="1" applyBorder="1"/>
    <xf numFmtId="3" fontId="44" fillId="0" borderId="62" xfId="26" applyNumberFormat="1" applyFont="1" applyBorder="1"/>
    <xf numFmtId="3" fontId="44" fillId="0" borderId="2" xfId="26" applyNumberFormat="1" applyFont="1" applyBorder="1"/>
    <xf numFmtId="3" fontId="44" fillId="0" borderId="18" xfId="26" applyNumberFormat="1" applyFont="1" applyBorder="1"/>
    <xf numFmtId="3" fontId="8" fillId="0" borderId="0" xfId="33" applyNumberFormat="1" applyFont="1" applyFill="1" applyAlignment="1" applyProtection="1">
      <alignment vertical="center"/>
      <protection locked="0"/>
    </xf>
    <xf numFmtId="3" fontId="46" fillId="0" borderId="62" xfId="26" applyNumberFormat="1" applyFont="1" applyBorder="1"/>
    <xf numFmtId="3" fontId="46" fillId="0" borderId="2" xfId="26" applyNumberFormat="1" applyFont="1" applyBorder="1"/>
    <xf numFmtId="3" fontId="46" fillId="0" borderId="18" xfId="26" applyNumberFormat="1" applyFont="1" applyBorder="1"/>
    <xf numFmtId="3" fontId="44" fillId="0" borderId="92" xfId="26" applyNumberFormat="1" applyFont="1" applyBorder="1"/>
    <xf numFmtId="3" fontId="45" fillId="0" borderId="99" xfId="26" applyNumberFormat="1" applyFont="1" applyBorder="1"/>
    <xf numFmtId="3" fontId="45" fillId="0" borderId="28" xfId="26" applyNumberFormat="1" applyFont="1" applyBorder="1"/>
    <xf numFmtId="3" fontId="45" fillId="0" borderId="29" xfId="26" applyNumberFormat="1" applyFont="1" applyBorder="1"/>
    <xf numFmtId="3" fontId="45" fillId="0" borderId="93" xfId="26" applyNumberFormat="1" applyFont="1" applyBorder="1"/>
    <xf numFmtId="3" fontId="45" fillId="0" borderId="90" xfId="26" applyNumberFormat="1" applyFont="1" applyBorder="1"/>
    <xf numFmtId="3" fontId="45" fillId="0" borderId="94" xfId="26" applyNumberFormat="1" applyFont="1" applyBorder="1"/>
    <xf numFmtId="3" fontId="47" fillId="0" borderId="94" xfId="26" applyNumberFormat="1" applyFont="1" applyBorder="1"/>
    <xf numFmtId="3" fontId="11" fillId="0" borderId="23" xfId="33" applyNumberFormat="1" applyFont="1" applyFill="1" applyBorder="1" applyAlignment="1" applyProtection="1">
      <alignment vertical="center"/>
    </xf>
    <xf numFmtId="3" fontId="48" fillId="0" borderId="60" xfId="11" applyNumberFormat="1" applyFont="1" applyFill="1" applyBorder="1" applyAlignment="1">
      <alignment vertical="center" wrapText="1"/>
    </xf>
    <xf numFmtId="3" fontId="48" fillId="0" borderId="16" xfId="11" applyNumberFormat="1" applyFont="1" applyFill="1" applyBorder="1" applyAlignment="1">
      <alignment vertical="center" wrapText="1"/>
    </xf>
    <xf numFmtId="3" fontId="48" fillId="0" borderId="17" xfId="11" applyNumberFormat="1" applyFont="1" applyFill="1" applyBorder="1" applyAlignment="1">
      <alignment vertical="center" wrapText="1"/>
    </xf>
    <xf numFmtId="3" fontId="48" fillId="0" borderId="2" xfId="11" applyNumberFormat="1" applyFont="1" applyFill="1" applyBorder="1" applyAlignment="1">
      <alignment vertical="center" wrapText="1"/>
    </xf>
    <xf numFmtId="3" fontId="48" fillId="0" borderId="18" xfId="11" applyNumberFormat="1" applyFont="1" applyFill="1" applyBorder="1" applyAlignment="1">
      <alignment vertical="center" wrapText="1"/>
    </xf>
    <xf numFmtId="3" fontId="48" fillId="0" borderId="25" xfId="11" applyNumberFormat="1" applyFont="1" applyFill="1" applyBorder="1" applyAlignment="1">
      <alignment vertical="center" wrapText="1"/>
    </xf>
    <xf numFmtId="3" fontId="48" fillId="0" borderId="26" xfId="11" applyNumberFormat="1" applyFont="1" applyFill="1" applyBorder="1" applyAlignment="1">
      <alignment vertical="center" wrapText="1"/>
    </xf>
    <xf numFmtId="3" fontId="48" fillId="0" borderId="62" xfId="11" applyNumberFormat="1" applyFont="1" applyFill="1" applyBorder="1" applyAlignment="1">
      <alignment vertical="center" wrapText="1"/>
    </xf>
    <xf numFmtId="3" fontId="48" fillId="0" borderId="63" xfId="11" applyNumberFormat="1" applyFont="1" applyFill="1" applyBorder="1" applyAlignment="1">
      <alignment vertical="center" wrapText="1"/>
    </xf>
    <xf numFmtId="3" fontId="48" fillId="0" borderId="61" xfId="11" applyNumberFormat="1" applyFont="1" applyFill="1" applyBorder="1" applyAlignment="1">
      <alignment vertical="center" wrapText="1"/>
    </xf>
    <xf numFmtId="3" fontId="48" fillId="0" borderId="38" xfId="11" applyNumberFormat="1" applyFont="1" applyFill="1" applyBorder="1" applyAlignment="1">
      <alignment vertical="center" wrapText="1"/>
    </xf>
    <xf numFmtId="3" fontId="48" fillId="0" borderId="39" xfId="11" applyNumberFormat="1" applyFont="1" applyFill="1" applyBorder="1" applyAlignment="1">
      <alignment vertical="center" wrapText="1"/>
    </xf>
    <xf numFmtId="3" fontId="48" fillId="0" borderId="55" xfId="11" applyNumberFormat="1" applyFont="1" applyFill="1" applyBorder="1" applyAlignment="1">
      <alignment vertical="center" wrapText="1"/>
    </xf>
    <xf numFmtId="3" fontId="48" fillId="0" borderId="2" xfId="11" applyNumberFormat="1" applyFont="1" applyFill="1" applyBorder="1" applyAlignment="1">
      <alignment wrapText="1"/>
    </xf>
    <xf numFmtId="3" fontId="48" fillId="0" borderId="18" xfId="11" applyNumberFormat="1" applyFont="1" applyFill="1" applyBorder="1" applyAlignment="1">
      <alignment wrapText="1"/>
    </xf>
    <xf numFmtId="3" fontId="48" fillId="0" borderId="31" xfId="11" applyNumberFormat="1" applyFont="1" applyFill="1" applyBorder="1" applyAlignment="1">
      <alignment vertical="center" wrapText="1"/>
    </xf>
    <xf numFmtId="3" fontId="48" fillId="0" borderId="32" xfId="11" applyNumberFormat="1" applyFont="1" applyFill="1" applyBorder="1" applyAlignment="1">
      <alignment vertical="center" wrapText="1"/>
    </xf>
    <xf numFmtId="3" fontId="48" fillId="0" borderId="62" xfId="11" applyNumberFormat="1" applyFont="1" applyFill="1" applyBorder="1" applyAlignment="1">
      <alignment wrapText="1"/>
    </xf>
    <xf numFmtId="3" fontId="48" fillId="0" borderId="98" xfId="11" applyNumberFormat="1" applyFont="1" applyFill="1" applyBorder="1" applyAlignment="1">
      <alignment vertical="center" wrapText="1"/>
    </xf>
    <xf numFmtId="49" fontId="17" fillId="0" borderId="5" xfId="0" applyNumberFormat="1" applyFont="1" applyBorder="1" applyAlignment="1">
      <alignment horizontal="left" indent="2"/>
    </xf>
    <xf numFmtId="49" fontId="18" fillId="0" borderId="21" xfId="0" applyNumberFormat="1" applyFont="1" applyBorder="1" applyAlignment="1">
      <alignment horizontal="center"/>
    </xf>
    <xf numFmtId="49" fontId="18" fillId="0" borderId="15" xfId="0" applyNumberFormat="1" applyFont="1" applyBorder="1" applyAlignment="1">
      <alignment horizontal="left" indent="1"/>
    </xf>
    <xf numFmtId="165" fontId="11" fillId="0" borderId="9" xfId="11" applyNumberFormat="1" applyFont="1" applyFill="1" applyBorder="1" applyAlignment="1" applyProtection="1">
      <alignment horizontal="center" vertical="center" wrapText="1"/>
    </xf>
    <xf numFmtId="165" fontId="11" fillId="0" borderId="29" xfId="11" applyNumberFormat="1" applyFont="1" applyFill="1" applyBorder="1" applyAlignment="1" applyProtection="1">
      <alignment horizontal="center" vertical="center" wrapText="1"/>
    </xf>
    <xf numFmtId="3" fontId="11" fillId="0" borderId="32" xfId="11" applyNumberFormat="1" applyFont="1" applyFill="1" applyBorder="1" applyAlignment="1" applyProtection="1">
      <alignment vertical="center" wrapText="1"/>
    </xf>
    <xf numFmtId="3" fontId="12" fillId="0" borderId="18" xfId="11" applyNumberFormat="1" applyFont="1" applyFill="1" applyBorder="1" applyAlignment="1" applyProtection="1">
      <alignment vertical="center" wrapText="1"/>
    </xf>
    <xf numFmtId="3" fontId="12" fillId="0" borderId="17" xfId="11" applyNumberFormat="1" applyFont="1" applyFill="1" applyBorder="1" applyAlignment="1" applyProtection="1">
      <alignment vertical="center" wrapText="1"/>
    </xf>
    <xf numFmtId="3" fontId="10" fillId="0" borderId="29" xfId="11" applyNumberFormat="1" applyFont="1" applyFill="1" applyBorder="1" applyAlignment="1" applyProtection="1">
      <alignment vertical="center" wrapText="1"/>
    </xf>
    <xf numFmtId="3" fontId="11" fillId="0" borderId="29" xfId="11" applyNumberFormat="1" applyFont="1" applyFill="1" applyBorder="1" applyAlignment="1" applyProtection="1">
      <alignment vertical="center" wrapText="1"/>
    </xf>
    <xf numFmtId="3" fontId="11" fillId="0" borderId="39" xfId="11" applyNumberFormat="1" applyFont="1" applyFill="1" applyBorder="1" applyAlignment="1" applyProtection="1">
      <alignment vertical="center" wrapText="1"/>
    </xf>
    <xf numFmtId="3" fontId="12" fillId="0" borderId="41" xfId="11" applyNumberFormat="1" applyFont="1" applyFill="1" applyBorder="1" applyAlignment="1" applyProtection="1">
      <alignment vertical="center" wrapText="1"/>
    </xf>
    <xf numFmtId="3" fontId="12" fillId="0" borderId="26" xfId="11" applyNumberFormat="1" applyFont="1" applyFill="1" applyBorder="1" applyAlignment="1" applyProtection="1">
      <alignment horizontal="right" vertical="center" wrapText="1"/>
      <protection locked="0"/>
    </xf>
    <xf numFmtId="0" fontId="12" fillId="0" borderId="5" xfId="0" applyFont="1" applyFill="1" applyBorder="1" applyAlignment="1">
      <alignment horizontal="left" indent="1"/>
    </xf>
    <xf numFmtId="0" fontId="11" fillId="0" borderId="0" xfId="0" applyFont="1" applyFill="1"/>
    <xf numFmtId="0" fontId="6" fillId="0" borderId="0" xfId="11" applyFont="1"/>
    <xf numFmtId="4" fontId="7" fillId="0" borderId="0" xfId="11" applyNumberFormat="1" applyFont="1" applyFill="1"/>
    <xf numFmtId="4" fontId="9" fillId="0" borderId="0" xfId="11" applyNumberFormat="1" applyFont="1" applyFill="1" applyBorder="1" applyAlignment="1">
      <alignment vertical="center"/>
    </xf>
    <xf numFmtId="0" fontId="12" fillId="0" borderId="55" xfId="11" applyFont="1" applyBorder="1" applyAlignment="1">
      <alignment horizontal="left" indent="1"/>
    </xf>
    <xf numFmtId="0" fontId="12" fillId="0" borderId="49" xfId="11" applyFont="1" applyBorder="1" applyAlignment="1">
      <alignment horizontal="left" indent="1"/>
    </xf>
    <xf numFmtId="0" fontId="12" fillId="0" borderId="59" xfId="11" applyFont="1" applyBorder="1" applyAlignment="1">
      <alignment horizontal="left" indent="1"/>
    </xf>
    <xf numFmtId="0" fontId="33" fillId="0" borderId="0" xfId="32" applyFont="1" applyAlignment="1">
      <alignment vertical="top" wrapText="1"/>
    </xf>
    <xf numFmtId="0" fontId="35" fillId="0" borderId="0" xfId="32" applyFont="1" applyAlignment="1">
      <alignment vertical="top"/>
    </xf>
    <xf numFmtId="0" fontId="33" fillId="0" borderId="0" xfId="28" applyFont="1" applyAlignment="1">
      <alignment vertical="top" wrapText="1"/>
    </xf>
    <xf numFmtId="3" fontId="9" fillId="0" borderId="0" xfId="11" applyNumberFormat="1" applyFont="1" applyFill="1" applyAlignment="1">
      <alignment horizontal="center" vertical="center" wrapText="1"/>
    </xf>
    <xf numFmtId="3" fontId="11" fillId="0" borderId="0" xfId="11" applyNumberFormat="1" applyFont="1" applyFill="1" applyBorder="1" applyAlignment="1" applyProtection="1">
      <alignment horizontal="right" vertical="center" wrapText="1"/>
      <protection locked="0"/>
    </xf>
    <xf numFmtId="0" fontId="20" fillId="0" borderId="0" xfId="11" applyNumberFormat="1" applyFont="1" applyFill="1" applyAlignment="1">
      <alignment horizontal="center" vertical="top"/>
    </xf>
    <xf numFmtId="3" fontId="16" fillId="0" borderId="0" xfId="11" applyNumberFormat="1" applyFont="1" applyFill="1" applyAlignment="1">
      <alignment vertical="top" wrapText="1"/>
    </xf>
    <xf numFmtId="3" fontId="16" fillId="0" borderId="0" xfId="11" applyNumberFormat="1" applyFont="1" applyFill="1" applyBorder="1" applyAlignment="1">
      <alignment vertical="top" wrapText="1"/>
    </xf>
    <xf numFmtId="3" fontId="15" fillId="0" borderId="0" xfId="1" applyNumberFormat="1" applyFont="1" applyFill="1" applyBorder="1" applyAlignment="1">
      <alignment horizontal="right" vertical="top" wrapText="1"/>
    </xf>
    <xf numFmtId="3" fontId="16" fillId="0" borderId="0" xfId="11" applyNumberFormat="1" applyFont="1" applyFill="1" applyAlignment="1">
      <alignment vertical="top"/>
    </xf>
    <xf numFmtId="3" fontId="48" fillId="0" borderId="0" xfId="11" applyNumberFormat="1" applyFont="1" applyFill="1" applyBorder="1" applyAlignment="1">
      <alignment vertical="center" wrapText="1"/>
    </xf>
    <xf numFmtId="3" fontId="48" fillId="0" borderId="0" xfId="11" applyNumberFormat="1" applyFont="1" applyFill="1" applyBorder="1" applyAlignment="1">
      <alignment wrapText="1"/>
    </xf>
    <xf numFmtId="3" fontId="49" fillId="0" borderId="0" xfId="11" applyNumberFormat="1" applyFont="1" applyFill="1" applyBorder="1" applyAlignment="1">
      <alignment vertical="center" wrapText="1"/>
    </xf>
    <xf numFmtId="0" fontId="12" fillId="0" borderId="0" xfId="11" applyFont="1" applyFill="1" applyBorder="1" applyAlignment="1"/>
    <xf numFmtId="3" fontId="11" fillId="0" borderId="0" xfId="11" applyNumberFormat="1" applyFont="1" applyFill="1" applyBorder="1" applyAlignment="1">
      <alignment horizontal="right" vertical="center" wrapText="1"/>
    </xf>
    <xf numFmtId="164" fontId="12" fillId="0" borderId="49" xfId="11" applyNumberFormat="1" applyFont="1" applyFill="1" applyBorder="1" applyAlignment="1"/>
    <xf numFmtId="3" fontId="53" fillId="0" borderId="60" xfId="11" applyNumberFormat="1" applyFont="1" applyFill="1" applyBorder="1" applyAlignment="1">
      <alignment vertical="center" wrapText="1"/>
    </xf>
    <xf numFmtId="3" fontId="53" fillId="0" borderId="16" xfId="11" applyNumberFormat="1" applyFont="1" applyFill="1" applyBorder="1" applyAlignment="1">
      <alignment vertical="center" wrapText="1"/>
    </xf>
    <xf numFmtId="3" fontId="53" fillId="0" borderId="17" xfId="11" applyNumberFormat="1" applyFont="1" applyFill="1" applyBorder="1" applyAlignment="1">
      <alignment vertical="center" wrapText="1"/>
    </xf>
    <xf numFmtId="3" fontId="53" fillId="0" borderId="62" xfId="11" applyNumberFormat="1" applyFont="1" applyFill="1" applyBorder="1" applyAlignment="1">
      <alignment vertical="center" wrapText="1"/>
    </xf>
    <xf numFmtId="3" fontId="53" fillId="0" borderId="2" xfId="11" applyNumberFormat="1" applyFont="1" applyFill="1" applyBorder="1" applyAlignment="1">
      <alignment vertical="center" wrapText="1"/>
    </xf>
    <xf numFmtId="3" fontId="53" fillId="0" borderId="18" xfId="11" applyNumberFormat="1" applyFont="1" applyFill="1" applyBorder="1" applyAlignment="1">
      <alignment vertical="center" wrapText="1"/>
    </xf>
    <xf numFmtId="0" fontId="12" fillId="0" borderId="42" xfId="0" applyFont="1" applyFill="1" applyBorder="1" applyAlignment="1">
      <alignment horizontal="left" indent="1"/>
    </xf>
    <xf numFmtId="168" fontId="12" fillId="0" borderId="61" xfId="11" applyNumberFormat="1" applyFont="1" applyFill="1" applyBorder="1" applyAlignment="1">
      <alignment horizontal="center" vertical="center" wrapText="1"/>
    </xf>
    <xf numFmtId="168" fontId="12" fillId="0" borderId="62" xfId="11" applyNumberFormat="1" applyFont="1" applyFill="1" applyBorder="1" applyAlignment="1">
      <alignment horizontal="center" vertical="center" wrapText="1"/>
    </xf>
    <xf numFmtId="168" fontId="12" fillId="0" borderId="34" xfId="11" applyNumberFormat="1" applyFont="1" applyFill="1" applyBorder="1" applyAlignment="1">
      <alignment horizontal="center" vertical="center" wrapText="1"/>
    </xf>
    <xf numFmtId="3" fontId="54" fillId="0" borderId="0" xfId="11" applyNumberFormat="1" applyFont="1" applyFill="1" applyAlignment="1">
      <alignment vertical="center" wrapText="1"/>
    </xf>
    <xf numFmtId="3" fontId="55" fillId="0" borderId="0" xfId="11" applyNumberFormat="1" applyFont="1" applyFill="1" applyAlignment="1">
      <alignment horizontal="center" vertical="center" wrapText="1"/>
    </xf>
    <xf numFmtId="3" fontId="54" fillId="0" borderId="0" xfId="11" applyNumberFormat="1" applyFont="1" applyFill="1" applyAlignment="1">
      <alignment horizontal="center" vertical="center" wrapText="1"/>
    </xf>
    <xf numFmtId="3" fontId="54" fillId="0" borderId="55" xfId="11" applyNumberFormat="1" applyFont="1" applyFill="1" applyBorder="1" applyAlignment="1">
      <alignment horizontal="center" vertical="center" wrapText="1"/>
    </xf>
    <xf numFmtId="3" fontId="54" fillId="0" borderId="60" xfId="11" applyNumberFormat="1" applyFont="1" applyFill="1" applyBorder="1" applyAlignment="1">
      <alignment horizontal="center" vertical="center" wrapText="1"/>
    </xf>
    <xf numFmtId="3" fontId="54" fillId="0" borderId="62" xfId="11" applyNumberFormat="1" applyFont="1" applyFill="1" applyBorder="1" applyAlignment="1">
      <alignment horizontal="center" vertical="center" wrapText="1"/>
    </xf>
    <xf numFmtId="3" fontId="54" fillId="0" borderId="63" xfId="11" applyNumberFormat="1" applyFont="1" applyFill="1" applyBorder="1" applyAlignment="1">
      <alignment horizontal="center" vertical="center" wrapText="1"/>
    </xf>
    <xf numFmtId="3" fontId="56" fillId="0" borderId="47" xfId="11" applyNumberFormat="1" applyFont="1" applyFill="1" applyBorder="1" applyAlignment="1">
      <alignment horizontal="center" vertical="center" wrapText="1"/>
    </xf>
    <xf numFmtId="3" fontId="56" fillId="2" borderId="47" xfId="11" applyNumberFormat="1" applyFont="1" applyFill="1" applyBorder="1" applyAlignment="1">
      <alignment horizontal="center" vertical="center" wrapText="1"/>
    </xf>
    <xf numFmtId="3" fontId="54" fillId="0" borderId="86" xfId="11" applyNumberFormat="1" applyFont="1" applyFill="1" applyBorder="1" applyAlignment="1">
      <alignment horizontal="center" vertical="center" wrapText="1"/>
    </xf>
    <xf numFmtId="3" fontId="54" fillId="0" borderId="61" xfId="11" applyNumberFormat="1" applyFont="1" applyFill="1" applyBorder="1" applyAlignment="1">
      <alignment horizontal="center" vertical="center" wrapText="1"/>
    </xf>
    <xf numFmtId="3" fontId="56" fillId="0" borderId="11" xfId="11" applyNumberFormat="1" applyFont="1" applyFill="1" applyBorder="1" applyAlignment="1">
      <alignment horizontal="center" vertical="center" wrapText="1"/>
    </xf>
    <xf numFmtId="3" fontId="54" fillId="0" borderId="98" xfId="11" applyNumberFormat="1" applyFont="1" applyFill="1" applyBorder="1" applyAlignment="1">
      <alignment horizontal="center" vertical="center" wrapText="1"/>
    </xf>
    <xf numFmtId="3" fontId="56" fillId="0" borderId="96" xfId="11" applyNumberFormat="1" applyFont="1" applyFill="1" applyBorder="1" applyAlignment="1">
      <alignment horizontal="center" vertical="center" wrapText="1"/>
    </xf>
    <xf numFmtId="3" fontId="55" fillId="0" borderId="0" xfId="11" applyNumberFormat="1" applyFont="1" applyFill="1" applyAlignment="1">
      <alignment horizontal="center" vertical="center"/>
    </xf>
    <xf numFmtId="3" fontId="54" fillId="0" borderId="0" xfId="11" applyNumberFormat="1" applyFont="1" applyFill="1" applyAlignment="1">
      <alignment horizontal="center" vertical="center"/>
    </xf>
    <xf numFmtId="3" fontId="57" fillId="0" borderId="63" xfId="11" applyNumberFormat="1" applyFont="1" applyFill="1" applyBorder="1" applyAlignment="1">
      <alignment horizontal="center" vertical="center" wrapText="1"/>
    </xf>
    <xf numFmtId="3" fontId="56" fillId="0" borderId="11" xfId="11" applyNumberFormat="1" applyFont="1" applyFill="1" applyBorder="1" applyAlignment="1">
      <alignment horizontal="center" vertical="center"/>
    </xf>
    <xf numFmtId="3" fontId="57" fillId="0" borderId="62" xfId="11" applyNumberFormat="1" applyFont="1" applyFill="1" applyBorder="1" applyAlignment="1">
      <alignment horizontal="center" vertical="center" wrapText="1"/>
    </xf>
    <xf numFmtId="3" fontId="54" fillId="0" borderId="98" xfId="11" applyNumberFormat="1" applyFont="1" applyFill="1" applyBorder="1" applyAlignment="1">
      <alignment horizontal="center" vertical="center"/>
    </xf>
    <xf numFmtId="3" fontId="54" fillId="0" borderId="0" xfId="0" applyNumberFormat="1" applyFont="1" applyFill="1" applyAlignment="1">
      <alignment horizontal="center" vertical="center"/>
    </xf>
    <xf numFmtId="3" fontId="56" fillId="4" borderId="11" xfId="11" applyNumberFormat="1" applyFont="1" applyFill="1" applyBorder="1" applyAlignment="1">
      <alignment horizontal="center" vertical="center" wrapText="1"/>
    </xf>
    <xf numFmtId="3" fontId="19" fillId="0" borderId="0" xfId="11" applyNumberFormat="1" applyFont="1" applyAlignment="1">
      <alignment vertical="top"/>
    </xf>
    <xf numFmtId="3" fontId="15" fillId="0" borderId="0" xfId="11" applyNumberFormat="1" applyFont="1" applyAlignment="1">
      <alignment vertical="top"/>
    </xf>
    <xf numFmtId="165" fontId="12" fillId="0" borderId="19" xfId="11" applyNumberFormat="1" applyFont="1" applyFill="1" applyBorder="1" applyAlignment="1" applyProtection="1">
      <alignment vertical="center" wrapText="1"/>
      <protection locked="0"/>
    </xf>
    <xf numFmtId="3" fontId="17" fillId="0" borderId="62" xfId="0" applyNumberFormat="1" applyFont="1" applyFill="1" applyBorder="1"/>
    <xf numFmtId="3" fontId="17" fillId="0" borderId="94" xfId="0" applyNumberFormat="1" applyFont="1" applyFill="1" applyBorder="1"/>
    <xf numFmtId="0" fontId="12" fillId="0" borderId="22" xfId="11" applyFont="1" applyBorder="1" applyAlignment="1">
      <alignment horizontal="left" indent="1"/>
    </xf>
    <xf numFmtId="0" fontId="12" fillId="0" borderId="57" xfId="11" applyFont="1" applyBorder="1" applyAlignment="1">
      <alignment horizontal="left" indent="1"/>
    </xf>
    <xf numFmtId="3" fontId="11" fillId="0" borderId="34" xfId="11" applyNumberFormat="1" applyFont="1" applyFill="1" applyBorder="1" applyAlignment="1">
      <alignment horizontal="center" vertical="center"/>
    </xf>
    <xf numFmtId="0" fontId="12" fillId="0" borderId="67" xfId="11" applyFont="1" applyFill="1" applyBorder="1" applyAlignment="1">
      <alignment wrapText="1"/>
    </xf>
    <xf numFmtId="49" fontId="15" fillId="0" borderId="41" xfId="0" applyNumberFormat="1" applyFont="1" applyBorder="1" applyAlignment="1">
      <alignment horizontal="center"/>
    </xf>
    <xf numFmtId="0" fontId="12" fillId="0" borderId="2" xfId="11" applyFont="1" applyFill="1" applyBorder="1" applyAlignment="1">
      <alignment horizontal="left" vertical="center" wrapText="1" indent="2"/>
    </xf>
    <xf numFmtId="3" fontId="54" fillId="4" borderId="60" xfId="11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 wrapText="1" indent="1"/>
    </xf>
    <xf numFmtId="168" fontId="11" fillId="0" borderId="34" xfId="11" applyNumberFormat="1" applyFont="1" applyFill="1" applyBorder="1" applyAlignment="1">
      <alignment horizontal="center" vertical="center" wrapText="1"/>
    </xf>
    <xf numFmtId="3" fontId="12" fillId="0" borderId="11" xfId="11" applyNumberFormat="1" applyFont="1" applyFill="1" applyBorder="1" applyAlignment="1">
      <alignment vertical="center" wrapText="1"/>
    </xf>
    <xf numFmtId="3" fontId="12" fillId="0" borderId="10" xfId="11" applyNumberFormat="1" applyFont="1" applyFill="1" applyBorder="1" applyAlignment="1">
      <alignment vertical="center" wrapText="1"/>
    </xf>
    <xf numFmtId="3" fontId="12" fillId="0" borderId="9" xfId="11" applyNumberFormat="1" applyFont="1" applyFill="1" applyBorder="1" applyAlignment="1">
      <alignment vertical="center" wrapText="1"/>
    </xf>
    <xf numFmtId="3" fontId="11" fillId="0" borderId="41" xfId="11" applyNumberFormat="1" applyFont="1" applyFill="1" applyBorder="1"/>
    <xf numFmtId="168" fontId="12" fillId="0" borderId="60" xfId="11" applyNumberFormat="1" applyFont="1" applyFill="1" applyBorder="1" applyAlignment="1">
      <alignment horizontal="center" vertical="center" wrapText="1"/>
    </xf>
    <xf numFmtId="0" fontId="12" fillId="0" borderId="17" xfId="11" applyFont="1" applyFill="1" applyBorder="1" applyAlignment="1">
      <alignment horizontal="left" vertical="center" wrapText="1" indent="1"/>
    </xf>
    <xf numFmtId="3" fontId="12" fillId="0" borderId="40" xfId="11" applyNumberFormat="1" applyFont="1" applyBorder="1"/>
    <xf numFmtId="168" fontId="12" fillId="0" borderId="63" xfId="11" applyNumberFormat="1" applyFont="1" applyFill="1" applyBorder="1" applyAlignment="1">
      <alignment horizontal="center" vertical="center" wrapText="1"/>
    </xf>
    <xf numFmtId="3" fontId="11" fillId="0" borderId="24" xfId="11" applyNumberFormat="1" applyFont="1" applyBorder="1"/>
    <xf numFmtId="168" fontId="12" fillId="0" borderId="98" xfId="11" applyNumberFormat="1" applyFont="1" applyFill="1" applyBorder="1" applyAlignment="1">
      <alignment horizontal="center" vertical="center" wrapText="1"/>
    </xf>
    <xf numFmtId="3" fontId="11" fillId="0" borderId="46" xfId="11" applyNumberFormat="1" applyFont="1" applyBorder="1"/>
    <xf numFmtId="3" fontId="11" fillId="0" borderId="27" xfId="11" applyNumberFormat="1" applyFont="1" applyBorder="1"/>
    <xf numFmtId="3" fontId="11" fillId="0" borderId="35" xfId="11" applyNumberFormat="1" applyFont="1" applyBorder="1"/>
    <xf numFmtId="168" fontId="12" fillId="0" borderId="11" xfId="11" applyNumberFormat="1" applyFont="1" applyFill="1" applyBorder="1" applyAlignment="1">
      <alignment horizontal="center" vertical="center" wrapText="1"/>
    </xf>
    <xf numFmtId="3" fontId="12" fillId="0" borderId="12" xfId="11" applyNumberFormat="1" applyFont="1" applyBorder="1" applyAlignment="1">
      <alignment horizontal="left" indent="1"/>
    </xf>
    <xf numFmtId="3" fontId="12" fillId="0" borderId="13" xfId="11" applyNumberFormat="1" applyFont="1" applyBorder="1"/>
    <xf numFmtId="3" fontId="11" fillId="0" borderId="34" xfId="1" applyNumberFormat="1" applyFont="1" applyBorder="1"/>
    <xf numFmtId="3" fontId="12" fillId="5" borderId="0" xfId="11" applyNumberFormat="1" applyFont="1" applyFill="1"/>
    <xf numFmtId="3" fontId="11" fillId="0" borderId="11" xfId="11" applyNumberFormat="1" applyFont="1" applyBorder="1" applyAlignment="1">
      <alignment horizontal="center" vertical="center" wrapText="1"/>
    </xf>
    <xf numFmtId="3" fontId="11" fillId="0" borderId="12" xfId="11" applyNumberFormat="1" applyFont="1" applyBorder="1" applyAlignment="1">
      <alignment horizontal="center" vertical="center" wrapText="1"/>
    </xf>
    <xf numFmtId="3" fontId="11" fillId="0" borderId="13" xfId="11" applyNumberFormat="1" applyFont="1" applyFill="1" applyBorder="1" applyAlignment="1">
      <alignment horizontal="center" vertical="center" wrapText="1"/>
    </xf>
    <xf numFmtId="3" fontId="12" fillId="0" borderId="59" xfId="11" applyNumberFormat="1" applyFont="1" applyFill="1" applyBorder="1" applyAlignment="1" applyProtection="1">
      <alignment vertical="center" wrapText="1"/>
      <protection locked="0"/>
    </xf>
    <xf numFmtId="3" fontId="21" fillId="0" borderId="18" xfId="11" applyNumberFormat="1" applyFont="1" applyFill="1" applyBorder="1" applyAlignment="1" applyProtection="1">
      <alignment vertical="center" wrapText="1"/>
      <protection locked="0"/>
    </xf>
    <xf numFmtId="0" fontId="9" fillId="0" borderId="0" xfId="0" applyFont="1" applyFill="1"/>
    <xf numFmtId="3" fontId="16" fillId="0" borderId="90" xfId="0" applyNumberFormat="1" applyFont="1" applyBorder="1"/>
    <xf numFmtId="168" fontId="12" fillId="0" borderId="48" xfId="11" applyNumberFormat="1" applyFont="1" applyFill="1" applyBorder="1" applyAlignment="1">
      <alignment horizontal="center" vertical="center" wrapText="1"/>
    </xf>
    <xf numFmtId="3" fontId="11" fillId="0" borderId="13" xfId="11" applyNumberFormat="1" applyFont="1" applyBorder="1" applyAlignment="1">
      <alignment wrapText="1"/>
    </xf>
    <xf numFmtId="3" fontId="11" fillId="0" borderId="0" xfId="0" applyNumberFormat="1" applyFont="1" applyFill="1"/>
    <xf numFmtId="0" fontId="38" fillId="0" borderId="9" xfId="11" applyFont="1" applyBorder="1" applyAlignment="1">
      <alignment horizontal="center"/>
    </xf>
    <xf numFmtId="3" fontId="10" fillId="0" borderId="0" xfId="11" applyNumberFormat="1" applyFont="1" applyFill="1" applyBorder="1" applyAlignment="1">
      <alignment horizontal="right"/>
    </xf>
    <xf numFmtId="3" fontId="11" fillId="0" borderId="0" xfId="11" applyNumberFormat="1" applyFont="1" applyFill="1" applyBorder="1" applyAlignment="1">
      <alignment horizontal="center" vertical="center"/>
    </xf>
    <xf numFmtId="3" fontId="10" fillId="0" borderId="0" xfId="11" applyNumberFormat="1" applyFont="1" applyFill="1" applyBorder="1" applyAlignment="1">
      <alignment vertical="center"/>
    </xf>
    <xf numFmtId="3" fontId="11" fillId="0" borderId="55" xfId="11" applyNumberFormat="1" applyFont="1" applyFill="1" applyBorder="1" applyAlignment="1"/>
    <xf numFmtId="3" fontId="11" fillId="0" borderId="17" xfId="11" applyNumberFormat="1" applyFont="1" applyFill="1" applyBorder="1" applyAlignment="1">
      <alignment vertical="center"/>
    </xf>
    <xf numFmtId="3" fontId="12" fillId="0" borderId="17" xfId="11" applyNumberFormat="1" applyFont="1" applyFill="1" applyBorder="1" applyAlignment="1">
      <alignment vertical="center"/>
    </xf>
    <xf numFmtId="3" fontId="11" fillId="0" borderId="60" xfId="11" applyNumberFormat="1" applyFont="1" applyFill="1" applyBorder="1" applyAlignment="1">
      <alignment vertical="center"/>
    </xf>
    <xf numFmtId="3" fontId="11" fillId="0" borderId="16" xfId="11" applyNumberFormat="1" applyFont="1" applyFill="1" applyBorder="1" applyAlignment="1">
      <alignment vertical="center"/>
    </xf>
    <xf numFmtId="3" fontId="11" fillId="0" borderId="8" xfId="11" applyNumberFormat="1" applyFont="1" applyFill="1" applyBorder="1" applyAlignment="1">
      <alignment vertical="center"/>
    </xf>
    <xf numFmtId="3" fontId="11" fillId="0" borderId="13" xfId="11" applyNumberFormat="1" applyFont="1" applyFill="1" applyBorder="1" applyAlignment="1">
      <alignment horizontal="center" vertical="center"/>
    </xf>
    <xf numFmtId="3" fontId="11" fillId="0" borderId="58" xfId="11" applyNumberFormat="1" applyFont="1" applyFill="1" applyBorder="1" applyAlignment="1">
      <alignment horizontal="center" vertical="center"/>
    </xf>
    <xf numFmtId="0" fontId="19" fillId="0" borderId="0" xfId="0" applyFont="1" applyFill="1"/>
    <xf numFmtId="4" fontId="19" fillId="0" borderId="0" xfId="0" applyNumberFormat="1" applyFont="1" applyFill="1"/>
    <xf numFmtId="0" fontId="11" fillId="0" borderId="0" xfId="11" applyFont="1" applyFill="1"/>
    <xf numFmtId="0" fontId="15" fillId="0" borderId="0" xfId="0" applyFont="1" applyFill="1"/>
    <xf numFmtId="4" fontId="11" fillId="0" borderId="0" xfId="11" applyNumberFormat="1" applyFont="1" applyFill="1"/>
    <xf numFmtId="9" fontId="12" fillId="0" borderId="0" xfId="36" applyNumberFormat="1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4" fontId="12" fillId="0" borderId="0" xfId="11" applyNumberFormat="1" applyFont="1" applyFill="1"/>
    <xf numFmtId="0" fontId="16" fillId="0" borderId="0" xfId="0" applyFont="1" applyFill="1"/>
    <xf numFmtId="4" fontId="12" fillId="0" borderId="0" xfId="11" applyNumberFormat="1" applyFont="1" applyFill="1" applyAlignment="1">
      <alignment horizontal="center"/>
    </xf>
    <xf numFmtId="4" fontId="16" fillId="0" borderId="0" xfId="0" applyNumberFormat="1" applyFont="1" applyFill="1"/>
    <xf numFmtId="4" fontId="12" fillId="0" borderId="0" xfId="11" applyNumberFormat="1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2" fillId="0" borderId="0" xfId="11" applyFont="1" applyFill="1"/>
    <xf numFmtId="3" fontId="12" fillId="0" borderId="62" xfId="33" applyNumberFormat="1" applyFont="1" applyFill="1" applyBorder="1" applyAlignment="1" applyProtection="1">
      <alignment vertical="center"/>
      <protection locked="0"/>
    </xf>
    <xf numFmtId="3" fontId="12" fillId="0" borderId="2" xfId="33" applyNumberFormat="1" applyFont="1" applyFill="1" applyBorder="1" applyAlignment="1" applyProtection="1">
      <alignment vertical="center"/>
      <protection locked="0"/>
    </xf>
    <xf numFmtId="3" fontId="12" fillId="0" borderId="56" xfId="33" applyNumberFormat="1" applyFont="1" applyFill="1" applyBorder="1" applyAlignment="1" applyProtection="1">
      <alignment vertical="center"/>
      <protection locked="0"/>
    </xf>
    <xf numFmtId="0" fontId="7" fillId="0" borderId="0" xfId="11" applyNumberFormat="1" applyFont="1" applyFill="1" applyAlignment="1">
      <alignment vertical="center" wrapText="1"/>
    </xf>
    <xf numFmtId="0" fontId="12" fillId="0" borderId="0" xfId="11" applyNumberFormat="1" applyFont="1" applyFill="1" applyAlignment="1">
      <alignment vertical="center" wrapText="1"/>
    </xf>
    <xf numFmtId="0" fontId="12" fillId="0" borderId="96" xfId="11" applyNumberFormat="1" applyFont="1" applyFill="1" applyBorder="1" applyAlignment="1">
      <alignment horizontal="center"/>
    </xf>
    <xf numFmtId="0" fontId="11" fillId="0" borderId="47" xfId="11" applyNumberFormat="1" applyFont="1" applyFill="1" applyBorder="1" applyAlignment="1">
      <alignment horizontal="center"/>
    </xf>
    <xf numFmtId="0" fontId="12" fillId="0" borderId="57" xfId="11" applyNumberFormat="1" applyFont="1" applyFill="1" applyBorder="1" applyAlignment="1">
      <alignment horizontal="center"/>
    </xf>
    <xf numFmtId="0" fontId="7" fillId="0" borderId="0" xfId="11" applyNumberFormat="1" applyFont="1" applyFill="1" applyAlignment="1">
      <alignment horizontal="center" vertical="center" wrapText="1"/>
    </xf>
    <xf numFmtId="0" fontId="12" fillId="0" borderId="0" xfId="11" applyNumberFormat="1" applyFont="1" applyFill="1" applyAlignment="1">
      <alignment horizontal="center" vertical="center" wrapText="1"/>
    </xf>
    <xf numFmtId="0" fontId="12" fillId="0" borderId="86" xfId="11" applyNumberFormat="1" applyFont="1" applyFill="1" applyBorder="1" applyAlignment="1">
      <alignment horizontal="center" vertical="center" wrapText="1"/>
    </xf>
    <xf numFmtId="0" fontId="11" fillId="0" borderId="11" xfId="11" applyNumberFormat="1" applyFont="1" applyFill="1" applyBorder="1" applyAlignment="1">
      <alignment horizontal="center" vertical="center" wrapText="1"/>
    </xf>
    <xf numFmtId="0" fontId="12" fillId="0" borderId="98" xfId="11" applyNumberFormat="1" applyFont="1" applyFill="1" applyBorder="1" applyAlignment="1">
      <alignment horizontal="center" vertical="center" wrapText="1"/>
    </xf>
    <xf numFmtId="3" fontId="54" fillId="4" borderId="62" xfId="11" applyNumberFormat="1" applyFont="1" applyFill="1" applyBorder="1" applyAlignment="1">
      <alignment horizontal="center" vertical="center" wrapText="1"/>
    </xf>
    <xf numFmtId="3" fontId="16" fillId="0" borderId="0" xfId="11" applyNumberFormat="1" applyFont="1" applyBorder="1" applyAlignment="1">
      <alignment vertical="top" wrapText="1"/>
    </xf>
    <xf numFmtId="3" fontId="15" fillId="0" borderId="0" xfId="11" applyNumberFormat="1" applyFont="1" applyAlignment="1">
      <alignment vertical="top" wrapText="1"/>
    </xf>
    <xf numFmtId="49" fontId="17" fillId="0" borderId="0" xfId="11" applyNumberFormat="1" applyFont="1" applyAlignment="1">
      <alignment horizontal="center" vertical="top" wrapText="1"/>
    </xf>
    <xf numFmtId="0" fontId="17" fillId="0" borderId="0" xfId="11" applyNumberFormat="1" applyFont="1" applyAlignment="1">
      <alignment vertical="top"/>
    </xf>
    <xf numFmtId="0" fontId="17" fillId="0" borderId="0" xfId="11" applyNumberFormat="1" applyFont="1" applyAlignment="1">
      <alignment horizontal="justify" vertical="top"/>
    </xf>
    <xf numFmtId="3" fontId="17" fillId="0" borderId="0" xfId="11" applyNumberFormat="1" applyFont="1" applyAlignment="1">
      <alignment vertical="top" wrapText="1"/>
    </xf>
    <xf numFmtId="3" fontId="17" fillId="0" borderId="0" xfId="11" applyNumberFormat="1" applyFont="1" applyFill="1" applyAlignment="1">
      <alignment vertical="top" wrapText="1"/>
    </xf>
    <xf numFmtId="3" fontId="17" fillId="0" borderId="0" xfId="11" applyNumberFormat="1" applyFont="1" applyAlignment="1">
      <alignment vertical="top"/>
    </xf>
    <xf numFmtId="3" fontId="16" fillId="0" borderId="0" xfId="11" applyNumberFormat="1" applyFont="1" applyBorder="1" applyAlignment="1">
      <alignment vertical="top"/>
    </xf>
    <xf numFmtId="0" fontId="16" fillId="0" borderId="0" xfId="11" applyNumberFormat="1" applyFont="1" applyAlignment="1">
      <alignment horizontal="right" vertical="top" wrapText="1"/>
    </xf>
    <xf numFmtId="49" fontId="7" fillId="0" borderId="0" xfId="11" applyNumberFormat="1" applyFont="1" applyFill="1" applyAlignment="1">
      <alignment horizontal="center" vertical="center" wrapText="1"/>
    </xf>
    <xf numFmtId="49" fontId="12" fillId="0" borderId="0" xfId="11" applyNumberFormat="1" applyFont="1" applyFill="1" applyAlignment="1">
      <alignment horizontal="center" vertical="center" wrapText="1"/>
    </xf>
    <xf numFmtId="4" fontId="12" fillId="0" borderId="55" xfId="11" applyNumberFormat="1" applyFont="1" applyFill="1" applyBorder="1" applyAlignment="1">
      <alignment horizontal="center" vertical="center" wrapText="1"/>
    </xf>
    <xf numFmtId="4" fontId="12" fillId="0" borderId="39" xfId="11" applyNumberFormat="1" applyFont="1" applyFill="1" applyBorder="1" applyAlignment="1">
      <alignment horizontal="left" vertical="center" wrapText="1"/>
    </xf>
    <xf numFmtId="0" fontId="12" fillId="0" borderId="39" xfId="11" applyFont="1" applyFill="1" applyBorder="1" applyAlignment="1"/>
    <xf numFmtId="3" fontId="48" fillId="0" borderId="8" xfId="11" applyNumberFormat="1" applyFont="1" applyFill="1" applyBorder="1" applyAlignment="1">
      <alignment vertical="center" wrapText="1"/>
    </xf>
    <xf numFmtId="4" fontId="12" fillId="0" borderId="60" xfId="11" applyNumberFormat="1" applyFont="1" applyFill="1" applyBorder="1" applyAlignment="1">
      <alignment horizontal="center" vertical="center" wrapText="1"/>
    </xf>
    <xf numFmtId="49" fontId="12" fillId="0" borderId="94" xfId="11" applyNumberFormat="1" applyFont="1" applyFill="1" applyBorder="1" applyAlignment="1">
      <alignment horizontal="left" vertical="center" wrapText="1"/>
    </xf>
    <xf numFmtId="0" fontId="12" fillId="0" borderId="2" xfId="11" applyFont="1" applyFill="1" applyBorder="1" applyAlignment="1"/>
    <xf numFmtId="0" fontId="12" fillId="0" borderId="31" xfId="11" applyFont="1" applyFill="1" applyBorder="1" applyAlignment="1"/>
    <xf numFmtId="0" fontId="12" fillId="0" borderId="18" xfId="11" applyFont="1" applyFill="1" applyBorder="1" applyAlignment="1"/>
    <xf numFmtId="49" fontId="12" fillId="0" borderId="95" xfId="11" applyNumberFormat="1" applyFont="1" applyFill="1" applyBorder="1" applyAlignment="1">
      <alignment horizontal="left" vertical="center" wrapText="1"/>
    </xf>
    <xf numFmtId="3" fontId="12" fillId="0" borderId="16" xfId="31" applyNumberFormat="1" applyFont="1" applyFill="1" applyBorder="1" applyAlignment="1" applyProtection="1">
      <alignment vertical="center" wrapText="1"/>
    </xf>
    <xf numFmtId="49" fontId="12" fillId="0" borderId="88" xfId="11" applyNumberFormat="1" applyFont="1" applyFill="1" applyBorder="1" applyAlignment="1">
      <alignment horizontal="left" vertical="center" wrapText="1"/>
    </xf>
    <xf numFmtId="0" fontId="12" fillId="0" borderId="26" xfId="11" applyFont="1" applyFill="1" applyBorder="1" applyAlignment="1"/>
    <xf numFmtId="3" fontId="48" fillId="0" borderId="56" xfId="11" applyNumberFormat="1" applyFont="1" applyFill="1" applyBorder="1" applyAlignment="1">
      <alignment vertical="center" wrapText="1"/>
    </xf>
    <xf numFmtId="3" fontId="11" fillId="0" borderId="58" xfId="11" applyNumberFormat="1" applyFont="1" applyFill="1" applyBorder="1" applyAlignment="1">
      <alignment vertical="center" wrapText="1"/>
    </xf>
    <xf numFmtId="3" fontId="11" fillId="2" borderId="58" xfId="11" applyNumberFormat="1" applyFont="1" applyFill="1" applyBorder="1" applyAlignment="1" applyProtection="1">
      <alignment horizontal="right" vertical="center" wrapText="1"/>
      <protection locked="0"/>
    </xf>
    <xf numFmtId="3" fontId="54" fillId="0" borderId="11" xfId="11" applyNumberFormat="1" applyFont="1" applyFill="1" applyBorder="1" applyAlignment="1">
      <alignment horizontal="center" vertical="center" wrapText="1"/>
    </xf>
    <xf numFmtId="49" fontId="12" fillId="0" borderId="11" xfId="11" applyNumberFormat="1" applyFont="1" applyFill="1" applyBorder="1" applyAlignment="1">
      <alignment horizontal="center" vertical="center" wrapText="1"/>
    </xf>
    <xf numFmtId="49" fontId="12" fillId="0" borderId="12" xfId="11" applyNumberFormat="1" applyFont="1" applyFill="1" applyBorder="1" applyAlignment="1">
      <alignment horizontal="left" vertical="center" wrapText="1"/>
    </xf>
    <xf numFmtId="3" fontId="11" fillId="0" borderId="85" xfId="11" applyNumberFormat="1" applyFont="1" applyFill="1" applyBorder="1" applyAlignment="1" applyProtection="1">
      <alignment horizontal="right" vertical="center" wrapText="1"/>
      <protection locked="0"/>
    </xf>
    <xf numFmtId="49" fontId="12" fillId="0" borderId="90" xfId="11" applyNumberFormat="1" applyFont="1" applyFill="1" applyBorder="1" applyAlignment="1">
      <alignment horizontal="left" vertical="center" wrapText="1"/>
    </xf>
    <xf numFmtId="3" fontId="48" fillId="0" borderId="54" xfId="11" applyNumberFormat="1" applyFont="1" applyFill="1" applyBorder="1" applyAlignment="1">
      <alignment vertical="center" wrapText="1"/>
    </xf>
    <xf numFmtId="3" fontId="48" fillId="0" borderId="49" xfId="11" applyNumberFormat="1" applyFont="1" applyFill="1" applyBorder="1" applyAlignment="1">
      <alignment vertical="center" wrapText="1"/>
    </xf>
    <xf numFmtId="3" fontId="53" fillId="0" borderId="61" xfId="11" applyNumberFormat="1" applyFont="1" applyFill="1" applyBorder="1" applyAlignment="1">
      <alignment vertical="center" wrapText="1"/>
    </xf>
    <xf numFmtId="3" fontId="53" fillId="0" borderId="38" xfId="11" applyNumberFormat="1" applyFont="1" applyFill="1" applyBorder="1" applyAlignment="1">
      <alignment vertical="center" wrapText="1"/>
    </xf>
    <xf numFmtId="3" fontId="53" fillId="0" borderId="39" xfId="11" applyNumberFormat="1" applyFont="1" applyFill="1" applyBorder="1" applyAlignment="1">
      <alignment vertical="center" wrapText="1"/>
    </xf>
    <xf numFmtId="0" fontId="12" fillId="0" borderId="32" xfId="11" applyFont="1" applyFill="1" applyBorder="1" applyAlignment="1"/>
    <xf numFmtId="3" fontId="48" fillId="0" borderId="3" xfId="11" applyNumberFormat="1" applyFont="1" applyFill="1" applyBorder="1" applyAlignment="1">
      <alignment vertical="center" wrapText="1"/>
    </xf>
    <xf numFmtId="3" fontId="11" fillId="2" borderId="58" xfId="11" applyNumberFormat="1" applyFont="1" applyFill="1" applyBorder="1" applyAlignment="1">
      <alignment vertical="center" wrapText="1"/>
    </xf>
    <xf numFmtId="3" fontId="12" fillId="0" borderId="3" xfId="11" applyNumberFormat="1" applyFont="1" applyFill="1" applyBorder="1" applyAlignment="1">
      <alignment vertical="center" wrapText="1"/>
    </xf>
    <xf numFmtId="3" fontId="11" fillId="2" borderId="58" xfId="11" applyNumberFormat="1" applyFont="1" applyFill="1" applyBorder="1" applyAlignment="1">
      <alignment horizontal="right" vertical="center" wrapText="1"/>
    </xf>
    <xf numFmtId="3" fontId="59" fillId="0" borderId="96" xfId="0" applyNumberFormat="1" applyFont="1" applyFill="1" applyBorder="1" applyAlignment="1">
      <alignment horizontal="center" vertical="center" wrapText="1"/>
    </xf>
    <xf numFmtId="3" fontId="59" fillId="0" borderId="86" xfId="0" applyNumberFormat="1" applyFont="1" applyFill="1" applyBorder="1" applyAlignment="1">
      <alignment horizontal="center" vertical="center" wrapText="1"/>
    </xf>
    <xf numFmtId="3" fontId="59" fillId="0" borderId="51" xfId="0" applyNumberFormat="1" applyFont="1" applyFill="1" applyBorder="1" applyAlignment="1">
      <alignment horizontal="center" vertical="center" wrapText="1"/>
    </xf>
    <xf numFmtId="3" fontId="59" fillId="0" borderId="50" xfId="0" applyNumberFormat="1" applyFont="1" applyFill="1" applyBorder="1" applyAlignment="1">
      <alignment horizontal="center" vertical="center" wrapText="1"/>
    </xf>
    <xf numFmtId="3" fontId="60" fillId="0" borderId="34" xfId="0" applyNumberFormat="1" applyFont="1" applyFill="1" applyBorder="1" applyAlignment="1">
      <alignment vertical="center" wrapText="1"/>
    </xf>
    <xf numFmtId="3" fontId="60" fillId="0" borderId="11" xfId="0" applyNumberFormat="1" applyFont="1" applyFill="1" applyBorder="1" applyAlignment="1">
      <alignment vertical="center" wrapText="1"/>
    </xf>
    <xf numFmtId="3" fontId="60" fillId="0" borderId="10" xfId="0" applyNumberFormat="1" applyFont="1" applyFill="1" applyBorder="1" applyAlignment="1">
      <alignment vertical="center" wrapText="1"/>
    </xf>
    <xf numFmtId="3" fontId="60" fillId="0" borderId="9" xfId="0" applyNumberFormat="1" applyFont="1" applyFill="1" applyBorder="1" applyAlignment="1">
      <alignment vertical="center" wrapText="1"/>
    </xf>
    <xf numFmtId="3" fontId="21" fillId="0" borderId="30" xfId="11" applyNumberFormat="1" applyFont="1" applyFill="1" applyBorder="1" applyAlignment="1">
      <alignment horizontal="left" vertical="center" wrapText="1" indent="4"/>
    </xf>
    <xf numFmtId="3" fontId="21" fillId="0" borderId="20" xfId="11" applyNumberFormat="1" applyFont="1" applyFill="1" applyBorder="1" applyAlignment="1">
      <alignment vertical="center" wrapText="1"/>
    </xf>
    <xf numFmtId="3" fontId="21" fillId="0" borderId="2" xfId="11" applyNumberFormat="1" applyFont="1" applyFill="1" applyBorder="1" applyAlignment="1">
      <alignment horizontal="right" vertical="center" wrapText="1"/>
    </xf>
    <xf numFmtId="3" fontId="21" fillId="0" borderId="18" xfId="11" applyNumberFormat="1" applyFont="1" applyFill="1" applyBorder="1" applyAlignment="1">
      <alignment vertical="center" wrapText="1"/>
    </xf>
    <xf numFmtId="3" fontId="21" fillId="0" borderId="35" xfId="11" applyNumberFormat="1" applyFont="1" applyFill="1" applyBorder="1" applyAlignment="1">
      <alignment horizontal="left" vertical="center" wrapText="1" indent="4"/>
    </xf>
    <xf numFmtId="3" fontId="21" fillId="0" borderId="27" xfId="11" applyNumberFormat="1" applyFont="1" applyFill="1" applyBorder="1" applyAlignment="1">
      <alignment vertical="center" wrapText="1"/>
    </xf>
    <xf numFmtId="3" fontId="21" fillId="0" borderId="28" xfId="11" applyNumberFormat="1" applyFont="1" applyFill="1" applyBorder="1" applyAlignment="1">
      <alignment horizontal="right" vertical="center" wrapText="1"/>
    </xf>
    <xf numFmtId="3" fontId="21" fillId="0" borderId="29" xfId="11" applyNumberFormat="1" applyFont="1" applyFill="1" applyBorder="1" applyAlignment="1">
      <alignment vertical="center" wrapText="1"/>
    </xf>
    <xf numFmtId="3" fontId="21" fillId="0" borderId="0" xfId="11" applyNumberFormat="1" applyFont="1" applyFill="1" applyBorder="1" applyAlignment="1">
      <alignment horizontal="left" vertical="center" wrapText="1"/>
    </xf>
    <xf numFmtId="3" fontId="21" fillId="0" borderId="0" xfId="11" applyNumberFormat="1" applyFont="1" applyFill="1" applyBorder="1" applyAlignment="1">
      <alignment vertical="center" wrapText="1"/>
    </xf>
    <xf numFmtId="3" fontId="21" fillId="0" borderId="0" xfId="11" applyNumberFormat="1" applyFont="1" applyFill="1" applyBorder="1" applyAlignment="1">
      <alignment horizontal="right" vertical="center" wrapText="1"/>
    </xf>
    <xf numFmtId="3" fontId="12" fillId="0" borderId="0" xfId="11" applyNumberFormat="1" applyFont="1" applyFill="1" applyBorder="1" applyAlignment="1">
      <alignment horizontal="left" vertical="center" wrapText="1"/>
    </xf>
    <xf numFmtId="3" fontId="58" fillId="0" borderId="0" xfId="11" applyNumberFormat="1" applyFont="1" applyFill="1" applyBorder="1" applyAlignment="1">
      <alignment vertical="center" wrapText="1"/>
    </xf>
    <xf numFmtId="3" fontId="58" fillId="0" borderId="0" xfId="11" applyNumberFormat="1" applyFont="1" applyFill="1" applyAlignment="1">
      <alignment vertical="center" wrapText="1"/>
    </xf>
    <xf numFmtId="3" fontId="53" fillId="0" borderId="0" xfId="11" applyNumberFormat="1" applyFont="1" applyFill="1" applyAlignment="1">
      <alignment vertical="center" wrapText="1"/>
    </xf>
    <xf numFmtId="3" fontId="61" fillId="0" borderId="30" xfId="11" applyNumberFormat="1" applyFont="1" applyFill="1" applyBorder="1" applyAlignment="1" applyProtection="1">
      <alignment horizontal="right" wrapText="1"/>
      <protection locked="0"/>
    </xf>
    <xf numFmtId="3" fontId="61" fillId="0" borderId="17" xfId="11" applyNumberFormat="1" applyFont="1" applyFill="1" applyBorder="1" applyAlignment="1" applyProtection="1">
      <alignment horizontal="right" wrapText="1"/>
      <protection locked="0"/>
    </xf>
    <xf numFmtId="3" fontId="53" fillId="0" borderId="8" xfId="11" applyNumberFormat="1" applyFont="1" applyFill="1" applyBorder="1" applyAlignment="1">
      <alignment vertical="center" wrapText="1"/>
    </xf>
    <xf numFmtId="3" fontId="53" fillId="0" borderId="2" xfId="11" applyNumberFormat="1" applyFont="1" applyFill="1" applyBorder="1" applyAlignment="1">
      <alignment wrapText="1"/>
    </xf>
    <xf numFmtId="3" fontId="53" fillId="0" borderId="18" xfId="11" applyNumberFormat="1" applyFont="1" applyFill="1" applyBorder="1" applyAlignment="1">
      <alignment wrapText="1"/>
    </xf>
    <xf numFmtId="3" fontId="53" fillId="0" borderId="62" xfId="11" applyNumberFormat="1" applyFont="1" applyFill="1" applyBorder="1" applyAlignment="1">
      <alignment wrapText="1"/>
    </xf>
    <xf numFmtId="3" fontId="61" fillId="0" borderId="0" xfId="11" applyNumberFormat="1" applyFont="1" applyFill="1" applyAlignment="1">
      <alignment horizontal="center" wrapText="1"/>
    </xf>
    <xf numFmtId="0" fontId="61" fillId="0" borderId="0" xfId="11" applyFont="1" applyFill="1" applyAlignment="1">
      <alignment horizontal="center" wrapText="1"/>
    </xf>
    <xf numFmtId="3" fontId="53" fillId="0" borderId="16" xfId="11" applyNumberFormat="1" applyFont="1" applyFill="1" applyBorder="1" applyAlignment="1">
      <alignment wrapText="1"/>
    </xf>
    <xf numFmtId="3" fontId="53" fillId="0" borderId="17" xfId="11" applyNumberFormat="1" applyFont="1" applyFill="1" applyBorder="1" applyAlignment="1">
      <alignment wrapText="1"/>
    </xf>
    <xf numFmtId="3" fontId="53" fillId="0" borderId="60" xfId="11" applyNumberFormat="1" applyFont="1" applyFill="1" applyBorder="1" applyAlignment="1">
      <alignment wrapText="1"/>
    </xf>
    <xf numFmtId="3" fontId="53" fillId="0" borderId="0" xfId="11" applyNumberFormat="1" applyFont="1" applyFill="1" applyBorder="1" applyAlignment="1">
      <alignment vertical="center" wrapText="1"/>
    </xf>
    <xf numFmtId="3" fontId="16" fillId="0" borderId="0" xfId="0" quotePrefix="1" applyNumberFormat="1" applyFont="1" applyFill="1"/>
    <xf numFmtId="0" fontId="12" fillId="0" borderId="63" xfId="11" applyFont="1" applyBorder="1" applyAlignment="1">
      <alignment horizontal="center" wrapText="1"/>
    </xf>
    <xf numFmtId="3" fontId="11" fillId="0" borderId="9" xfId="11" applyNumberFormat="1" applyFont="1" applyFill="1" applyBorder="1" applyAlignment="1">
      <alignment horizontal="center" vertical="center"/>
    </xf>
    <xf numFmtId="0" fontId="12" fillId="0" borderId="62" xfId="11" applyFont="1" applyFill="1" applyBorder="1" applyAlignment="1">
      <alignment horizontal="center" vertical="center"/>
    </xf>
    <xf numFmtId="3" fontId="54" fillId="0" borderId="62" xfId="11" applyNumberFormat="1" applyFont="1" applyFill="1" applyBorder="1" applyAlignment="1">
      <alignment horizontal="center" vertical="center"/>
    </xf>
    <xf numFmtId="0" fontId="62" fillId="0" borderId="8" xfId="11" applyFont="1" applyFill="1" applyBorder="1" applyAlignment="1" applyProtection="1">
      <alignment horizontal="left" vertical="center" wrapText="1" indent="2"/>
      <protection locked="0"/>
    </xf>
    <xf numFmtId="3" fontId="62" fillId="0" borderId="26" xfId="11" applyNumberFormat="1" applyFont="1" applyFill="1" applyBorder="1" applyAlignment="1">
      <alignment vertical="center" wrapText="1"/>
    </xf>
    <xf numFmtId="49" fontId="62" fillId="0" borderId="63" xfId="11" applyNumberFormat="1" applyFont="1" applyFill="1" applyBorder="1" applyAlignment="1">
      <alignment horizontal="center" vertical="center" wrapText="1"/>
    </xf>
    <xf numFmtId="0" fontId="37" fillId="0" borderId="39" xfId="11" applyFont="1" applyBorder="1" applyAlignment="1"/>
    <xf numFmtId="3" fontId="37" fillId="0" borderId="32" xfId="11" applyNumberFormat="1" applyFont="1" applyBorder="1" applyAlignment="1"/>
    <xf numFmtId="0" fontId="10" fillId="0" borderId="11" xfId="11" applyFont="1" applyFill="1" applyBorder="1" applyAlignment="1">
      <alignment horizontal="center" vertical="center"/>
    </xf>
    <xf numFmtId="3" fontId="63" fillId="0" borderId="11" xfId="11" applyNumberFormat="1" applyFont="1" applyFill="1" applyBorder="1" applyAlignment="1">
      <alignment horizontal="center" vertical="center"/>
    </xf>
    <xf numFmtId="0" fontId="10" fillId="0" borderId="58" xfId="11" applyFont="1" applyFill="1" applyBorder="1" applyAlignment="1" applyProtection="1">
      <alignment horizontal="left" vertical="center" wrapText="1"/>
      <protection locked="0"/>
    </xf>
    <xf numFmtId="3" fontId="10" fillId="0" borderId="9" xfId="11" applyNumberFormat="1" applyFont="1" applyFill="1" applyBorder="1" applyAlignment="1" applyProtection="1">
      <alignment horizontal="right" vertical="center" wrapText="1"/>
      <protection locked="0"/>
    </xf>
    <xf numFmtId="3" fontId="21" fillId="0" borderId="0" xfId="0" applyNumberFormat="1" applyFont="1" applyFill="1"/>
    <xf numFmtId="3" fontId="56" fillId="0" borderId="0" xfId="11" applyNumberFormat="1" applyFont="1" applyAlignment="1">
      <alignment vertical="center"/>
    </xf>
    <xf numFmtId="3" fontId="64" fillId="0" borderId="0" xfId="11" applyNumberFormat="1" applyFont="1" applyAlignment="1">
      <alignment vertical="center"/>
    </xf>
    <xf numFmtId="3" fontId="9" fillId="0" borderId="0" xfId="11" applyNumberFormat="1" applyFont="1" applyFill="1" applyAlignment="1">
      <alignment horizontal="center" vertical="center" wrapText="1"/>
    </xf>
    <xf numFmtId="3" fontId="11" fillId="0" borderId="47" xfId="11" applyNumberFormat="1" applyFont="1" applyFill="1" applyBorder="1" applyAlignment="1">
      <alignment horizontal="center" vertical="center" wrapText="1"/>
    </xf>
    <xf numFmtId="3" fontId="11" fillId="0" borderId="12" xfId="11" applyNumberFormat="1" applyFont="1" applyFill="1" applyBorder="1" applyAlignment="1">
      <alignment vertical="center" wrapText="1"/>
    </xf>
    <xf numFmtId="3" fontId="15" fillId="0" borderId="9" xfId="0" applyNumberFormat="1" applyFont="1" applyBorder="1" applyAlignment="1">
      <alignment horizontal="center"/>
    </xf>
    <xf numFmtId="3" fontId="15" fillId="0" borderId="47" xfId="0" applyNumberFormat="1" applyFont="1" applyBorder="1" applyAlignment="1">
      <alignment horizontal="center"/>
    </xf>
    <xf numFmtId="3" fontId="15" fillId="0" borderId="12" xfId="0" applyNumberFormat="1" applyFont="1" applyBorder="1" applyAlignment="1">
      <alignment horizontal="center"/>
    </xf>
    <xf numFmtId="3" fontId="9" fillId="0" borderId="0" xfId="11" applyNumberFormat="1" applyFont="1" applyFill="1" applyAlignment="1">
      <alignment horizontal="center"/>
    </xf>
    <xf numFmtId="3" fontId="9" fillId="0" borderId="0" xfId="11" applyNumberFormat="1" applyFont="1" applyFill="1" applyAlignment="1" applyProtection="1">
      <alignment horizontal="left"/>
      <protection locked="0"/>
    </xf>
    <xf numFmtId="3" fontId="12" fillId="0" borderId="0" xfId="11" applyNumberFormat="1" applyFont="1" applyFill="1" applyAlignment="1">
      <alignment horizontal="center" vertical="center" wrapText="1"/>
    </xf>
    <xf numFmtId="3" fontId="11" fillId="0" borderId="33" xfId="11" applyNumberFormat="1" applyFont="1" applyFill="1" applyBorder="1" applyAlignment="1">
      <alignment horizontal="center" vertical="center"/>
    </xf>
    <xf numFmtId="3" fontId="11" fillId="0" borderId="47" xfId="11" applyNumberFormat="1" applyFont="1" applyFill="1" applyBorder="1" applyAlignment="1">
      <alignment horizontal="center" vertical="center"/>
    </xf>
    <xf numFmtId="3" fontId="9" fillId="0" borderId="0" xfId="33" applyNumberFormat="1" applyFont="1" applyFill="1" applyAlignment="1" applyProtection="1">
      <alignment horizontal="center"/>
    </xf>
    <xf numFmtId="3" fontId="11" fillId="0" borderId="0" xfId="33" applyNumberFormat="1" applyFont="1" applyFill="1" applyBorder="1" applyAlignment="1" applyProtection="1">
      <alignment horizontal="left" vertical="center" indent="1"/>
    </xf>
    <xf numFmtId="165" fontId="9" fillId="0" borderId="0" xfId="11" applyNumberFormat="1" applyFont="1" applyFill="1" applyAlignment="1">
      <alignment horizontal="center" vertical="center" wrapText="1"/>
    </xf>
    <xf numFmtId="0" fontId="16" fillId="0" borderId="0" xfId="11" applyNumberFormat="1" applyFont="1" applyAlignment="1">
      <alignment horizontal="justify" vertical="top" wrapText="1"/>
    </xf>
    <xf numFmtId="0" fontId="16" fillId="0" borderId="0" xfId="11" applyNumberFormat="1" applyFont="1" applyAlignment="1">
      <alignment horizontal="left" vertical="top" wrapText="1"/>
    </xf>
    <xf numFmtId="0" fontId="16" fillId="0" borderId="0" xfId="11" applyNumberFormat="1" applyFont="1" applyAlignment="1">
      <alignment vertical="top" wrapText="1"/>
    </xf>
    <xf numFmtId="0" fontId="16" fillId="0" borderId="0" xfId="11" applyFont="1" applyAlignment="1">
      <alignment horizontal="justify" vertical="top" wrapText="1"/>
    </xf>
    <xf numFmtId="0" fontId="16" fillId="0" borderId="0" xfId="11" applyNumberFormat="1" applyFont="1" applyAlignment="1">
      <alignment horizontal="justify" vertical="top"/>
    </xf>
    <xf numFmtId="3" fontId="9" fillId="0" borderId="0" xfId="11" applyNumberFormat="1" applyFont="1" applyFill="1" applyAlignment="1">
      <alignment horizontal="center" vertical="center" wrapText="1"/>
    </xf>
    <xf numFmtId="168" fontId="11" fillId="0" borderId="96" xfId="11" applyNumberFormat="1" applyFont="1" applyFill="1" applyBorder="1" applyAlignment="1">
      <alignment horizontal="center" vertical="center" wrapText="1"/>
    </xf>
    <xf numFmtId="168" fontId="11" fillId="0" borderId="57" xfId="11" applyNumberFormat="1" applyFont="1" applyFill="1" applyBorder="1" applyAlignment="1">
      <alignment horizontal="center" vertical="center" wrapText="1"/>
    </xf>
    <xf numFmtId="168" fontId="11" fillId="0" borderId="92" xfId="11" applyNumberFormat="1" applyFont="1" applyFill="1" applyBorder="1" applyAlignment="1">
      <alignment horizontal="center" vertical="center" wrapText="1"/>
    </xf>
    <xf numFmtId="3" fontId="56" fillId="0" borderId="33" xfId="11" applyNumberFormat="1" applyFont="1" applyFill="1" applyBorder="1" applyAlignment="1">
      <alignment horizontal="center" vertical="center" wrapText="1"/>
    </xf>
    <xf numFmtId="3" fontId="56" fillId="0" borderId="46" xfId="11" applyNumberFormat="1" applyFont="1" applyFill="1" applyBorder="1" applyAlignment="1">
      <alignment horizontal="center" vertical="center" wrapText="1"/>
    </xf>
    <xf numFmtId="3" fontId="56" fillId="0" borderId="35" xfId="11" applyNumberFormat="1" applyFont="1" applyFill="1" applyBorder="1" applyAlignment="1">
      <alignment horizontal="center" vertical="center" wrapText="1"/>
    </xf>
    <xf numFmtId="49" fontId="11" fillId="0" borderId="33" xfId="11" applyNumberFormat="1" applyFont="1" applyFill="1" applyBorder="1" applyAlignment="1">
      <alignment horizontal="center" vertical="center" wrapText="1"/>
    </xf>
    <xf numFmtId="49" fontId="11" fillId="0" borderId="46" xfId="11" applyNumberFormat="1" applyFont="1" applyFill="1" applyBorder="1" applyAlignment="1">
      <alignment horizontal="center" vertical="center" wrapText="1"/>
    </xf>
    <xf numFmtId="49" fontId="11" fillId="0" borderId="35" xfId="11" applyNumberFormat="1" applyFont="1" applyFill="1" applyBorder="1" applyAlignment="1">
      <alignment horizontal="center" vertical="center" wrapText="1"/>
    </xf>
    <xf numFmtId="49" fontId="11" fillId="0" borderId="101" xfId="11" applyNumberFormat="1" applyFont="1" applyFill="1" applyBorder="1" applyAlignment="1">
      <alignment horizontal="center" vertical="center" wrapText="1"/>
    </xf>
    <xf numFmtId="49" fontId="11" fillId="0" borderId="97" xfId="11" applyNumberFormat="1" applyFont="1" applyFill="1" applyBorder="1" applyAlignment="1">
      <alignment horizontal="center" vertical="center" wrapText="1"/>
    </xf>
    <xf numFmtId="49" fontId="11" fillId="0" borderId="93" xfId="11" applyNumberFormat="1" applyFont="1" applyFill="1" applyBorder="1" applyAlignment="1">
      <alignment horizontal="center" vertical="center" wrapText="1"/>
    </xf>
    <xf numFmtId="0" fontId="11" fillId="0" borderId="50" xfId="11" applyFont="1" applyFill="1" applyBorder="1" applyAlignment="1">
      <alignment horizontal="center" vertical="center" wrapText="1"/>
    </xf>
    <xf numFmtId="0" fontId="11" fillId="0" borderId="32" xfId="11" applyFont="1" applyFill="1" applyBorder="1" applyAlignment="1">
      <alignment horizontal="center" vertical="center" wrapText="1"/>
    </xf>
    <xf numFmtId="0" fontId="11" fillId="0" borderId="29" xfId="11" applyFont="1" applyFill="1" applyBorder="1" applyAlignment="1">
      <alignment horizontal="center" vertical="center" wrapText="1"/>
    </xf>
    <xf numFmtId="3" fontId="11" fillId="0" borderId="47" xfId="11" applyNumberFormat="1" applyFont="1" applyFill="1" applyBorder="1" applyAlignment="1">
      <alignment horizontal="center" vertical="center" wrapText="1"/>
    </xf>
    <xf numFmtId="3" fontId="11" fillId="0" borderId="41" xfId="11" applyNumberFormat="1" applyFont="1" applyFill="1" applyBorder="1" applyAlignment="1">
      <alignment horizontal="center" vertical="center" wrapText="1"/>
    </xf>
    <xf numFmtId="3" fontId="11" fillId="0" borderId="12" xfId="11" applyNumberFormat="1" applyFont="1" applyFill="1" applyBorder="1" applyAlignment="1">
      <alignment horizontal="center" vertical="center" wrapText="1"/>
    </xf>
    <xf numFmtId="3" fontId="11" fillId="0" borderId="47" xfId="11" applyNumberFormat="1" applyFont="1" applyFill="1" applyBorder="1" applyAlignment="1">
      <alignment vertical="center" wrapText="1"/>
    </xf>
    <xf numFmtId="3" fontId="11" fillId="0" borderId="41" xfId="11" applyNumberFormat="1" applyFont="1" applyFill="1" applyBorder="1" applyAlignment="1">
      <alignment vertical="center" wrapText="1"/>
    </xf>
    <xf numFmtId="3" fontId="11" fillId="0" borderId="12" xfId="11" applyNumberFormat="1" applyFont="1" applyFill="1" applyBorder="1" applyAlignment="1">
      <alignment vertical="center" wrapText="1"/>
    </xf>
    <xf numFmtId="3" fontId="11" fillId="0" borderId="33" xfId="11" applyNumberFormat="1" applyFont="1" applyFill="1" applyBorder="1" applyAlignment="1">
      <alignment horizontal="center" vertical="center" wrapText="1"/>
    </xf>
    <xf numFmtId="3" fontId="11" fillId="0" borderId="35" xfId="11" applyNumberFormat="1" applyFont="1" applyFill="1" applyBorder="1" applyAlignment="1">
      <alignment horizontal="center" vertical="center" wrapText="1"/>
    </xf>
    <xf numFmtId="3" fontId="11" fillId="0" borderId="101" xfId="11" applyNumberFormat="1" applyFont="1" applyFill="1" applyBorder="1" applyAlignment="1">
      <alignment horizontal="center" vertical="center" wrapText="1"/>
    </xf>
    <xf numFmtId="3" fontId="11" fillId="0" borderId="93" xfId="11" applyNumberFormat="1" applyFont="1" applyFill="1" applyBorder="1" applyAlignment="1">
      <alignment horizontal="center" vertical="center" wrapText="1"/>
    </xf>
    <xf numFmtId="3" fontId="11" fillId="0" borderId="96" xfId="11" applyNumberFormat="1" applyFont="1" applyFill="1" applyBorder="1" applyAlignment="1">
      <alignment horizontal="left" vertical="center" wrapText="1"/>
    </xf>
    <xf numFmtId="0" fontId="12" fillId="0" borderId="45" xfId="11" applyFont="1" applyBorder="1"/>
    <xf numFmtId="3" fontId="11" fillId="0" borderId="96" xfId="11" applyNumberFormat="1" applyFont="1" applyFill="1" applyBorder="1" applyAlignment="1">
      <alignment vertical="center" wrapText="1"/>
    </xf>
    <xf numFmtId="0" fontId="12" fillId="0" borderId="101" xfId="11" applyFont="1" applyBorder="1"/>
    <xf numFmtId="168" fontId="53" fillId="0" borderId="49" xfId="11" applyNumberFormat="1" applyFont="1" applyFill="1" applyBorder="1" applyAlignment="1">
      <alignment horizontal="left" vertical="center" wrapText="1" indent="3"/>
    </xf>
    <xf numFmtId="168" fontId="53" fillId="0" borderId="42" xfId="11" applyNumberFormat="1" applyFont="1" applyFill="1" applyBorder="1" applyAlignment="1">
      <alignment horizontal="left" vertical="center" wrapText="1" indent="3"/>
    </xf>
    <xf numFmtId="168" fontId="53" fillId="0" borderId="94" xfId="11" applyNumberFormat="1" applyFont="1" applyFill="1" applyBorder="1" applyAlignment="1">
      <alignment horizontal="left" vertical="center" wrapText="1" indent="3"/>
    </xf>
    <xf numFmtId="168" fontId="53" fillId="0" borderId="55" xfId="11" applyNumberFormat="1" applyFont="1" applyFill="1" applyBorder="1" applyAlignment="1">
      <alignment horizontal="left" vertical="center" wrapText="1" indent="3"/>
    </xf>
    <xf numFmtId="168" fontId="53" fillId="0" borderId="7" xfId="11" applyNumberFormat="1" applyFont="1" applyFill="1" applyBorder="1" applyAlignment="1">
      <alignment horizontal="left" vertical="center" wrapText="1" indent="3"/>
    </xf>
    <xf numFmtId="168" fontId="53" fillId="0" borderId="95" xfId="11" applyNumberFormat="1" applyFont="1" applyFill="1" applyBorder="1" applyAlignment="1">
      <alignment horizontal="left" vertical="center" wrapText="1" indent="3"/>
    </xf>
    <xf numFmtId="0" fontId="11" fillId="2" borderId="47" xfId="11" applyFont="1" applyFill="1" applyBorder="1" applyAlignment="1"/>
    <xf numFmtId="0" fontId="11" fillId="2" borderId="41" xfId="11" applyFont="1" applyFill="1" applyBorder="1" applyAlignment="1"/>
    <xf numFmtId="0" fontId="11" fillId="2" borderId="12" xfId="11" applyFont="1" applyFill="1" applyBorder="1" applyAlignment="1"/>
    <xf numFmtId="0" fontId="11" fillId="0" borderId="47" xfId="11" applyFont="1" applyFill="1" applyBorder="1" applyAlignment="1"/>
    <xf numFmtId="0" fontId="11" fillId="0" borderId="41" xfId="11" applyFont="1" applyFill="1" applyBorder="1" applyAlignment="1"/>
    <xf numFmtId="0" fontId="11" fillId="0" borderId="12" xfId="11" applyFont="1" applyFill="1" applyBorder="1" applyAlignment="1"/>
    <xf numFmtId="0" fontId="11" fillId="2" borderId="47" xfId="11" applyFont="1" applyFill="1" applyBorder="1" applyAlignment="1">
      <alignment vertical="center" wrapText="1"/>
    </xf>
    <xf numFmtId="0" fontId="11" fillId="2" borderId="41" xfId="11" applyFont="1" applyFill="1" applyBorder="1" applyAlignment="1">
      <alignment vertical="center" wrapText="1"/>
    </xf>
    <xf numFmtId="0" fontId="11" fillId="2" borderId="12" xfId="11" applyFont="1" applyFill="1" applyBorder="1" applyAlignment="1">
      <alignment vertical="center" wrapText="1"/>
    </xf>
    <xf numFmtId="0" fontId="11" fillId="0" borderId="47" xfId="11" applyFont="1" applyFill="1" applyBorder="1" applyAlignment="1">
      <alignment vertical="center" wrapText="1"/>
    </xf>
    <xf numFmtId="0" fontId="11" fillId="0" borderId="41" xfId="11" applyFont="1" applyFill="1" applyBorder="1" applyAlignment="1">
      <alignment vertical="center" wrapText="1"/>
    </xf>
    <xf numFmtId="0" fontId="11" fillId="0" borderId="12" xfId="11" applyFont="1" applyFill="1" applyBorder="1" applyAlignment="1">
      <alignment vertical="center" wrapText="1"/>
    </xf>
    <xf numFmtId="0" fontId="34" fillId="0" borderId="0" xfId="32" applyFont="1" applyAlignment="1">
      <alignment horizontal="center"/>
    </xf>
    <xf numFmtId="0" fontId="35" fillId="0" borderId="0" xfId="32" applyFont="1" applyAlignment="1">
      <alignment horizontal="center"/>
    </xf>
    <xf numFmtId="0" fontId="35" fillId="0" borderId="0" xfId="32" applyFont="1" applyAlignment="1">
      <alignment horizontal="left" wrapText="1"/>
    </xf>
    <xf numFmtId="3" fontId="20" fillId="0" borderId="0" xfId="0" applyNumberFormat="1" applyFont="1" applyAlignment="1">
      <alignment horizontal="center"/>
    </xf>
    <xf numFmtId="3" fontId="9" fillId="0" borderId="0" xfId="31" applyNumberFormat="1" applyFont="1" applyFill="1" applyAlignment="1">
      <alignment horizontal="center"/>
    </xf>
    <xf numFmtId="3" fontId="15" fillId="0" borderId="13" xfId="0" applyNumberFormat="1" applyFont="1" applyBorder="1" applyAlignment="1">
      <alignment horizontal="center"/>
    </xf>
    <xf numFmtId="3" fontId="15" fillId="0" borderId="10" xfId="0" applyNumberFormat="1" applyFont="1" applyBorder="1" applyAlignment="1">
      <alignment horizontal="center"/>
    </xf>
    <xf numFmtId="3" fontId="15" fillId="0" borderId="9" xfId="0" applyNumberFormat="1" applyFont="1" applyBorder="1" applyAlignment="1">
      <alignment horizontal="center"/>
    </xf>
    <xf numFmtId="3" fontId="15" fillId="0" borderId="86" xfId="0" applyNumberFormat="1" applyFont="1" applyBorder="1" applyAlignment="1">
      <alignment horizontal="center"/>
    </xf>
    <xf numFmtId="3" fontId="15" fillId="0" borderId="51" xfId="0" applyNumberFormat="1" applyFont="1" applyBorder="1" applyAlignment="1">
      <alignment horizontal="center"/>
    </xf>
    <xf numFmtId="3" fontId="15" fillId="0" borderId="50" xfId="0" applyNumberFormat="1" applyFont="1" applyBorder="1" applyAlignment="1">
      <alignment horizontal="center"/>
    </xf>
    <xf numFmtId="3" fontId="15" fillId="0" borderId="47" xfId="0" applyNumberFormat="1" applyFont="1" applyBorder="1" applyAlignment="1">
      <alignment horizontal="center"/>
    </xf>
    <xf numFmtId="3" fontId="15" fillId="0" borderId="41" xfId="0" applyNumberFormat="1" applyFont="1" applyBorder="1" applyAlignment="1">
      <alignment horizontal="center"/>
    </xf>
    <xf numFmtId="3" fontId="15" fillId="0" borderId="12" xfId="0" applyNumberFormat="1" applyFont="1" applyBorder="1" applyAlignment="1">
      <alignment horizontal="center"/>
    </xf>
    <xf numFmtId="49" fontId="15" fillId="0" borderId="13" xfId="0" applyNumberFormat="1" applyFont="1" applyBorder="1" applyAlignment="1">
      <alignment horizontal="center"/>
    </xf>
    <xf numFmtId="49" fontId="15" fillId="0" borderId="10" xfId="0" applyNumberFormat="1" applyFont="1" applyBorder="1" applyAlignment="1">
      <alignment horizontal="center"/>
    </xf>
    <xf numFmtId="49" fontId="15" fillId="0" borderId="9" xfId="0" applyNumberFormat="1" applyFont="1" applyBorder="1" applyAlignment="1">
      <alignment horizontal="center"/>
    </xf>
    <xf numFmtId="49" fontId="15" fillId="0" borderId="86" xfId="0" applyNumberFormat="1" applyFont="1" applyBorder="1" applyAlignment="1">
      <alignment horizontal="center"/>
    </xf>
    <xf numFmtId="49" fontId="15" fillId="0" borderId="51" xfId="0" applyNumberFormat="1" applyFont="1" applyBorder="1" applyAlignment="1">
      <alignment horizontal="center"/>
    </xf>
    <xf numFmtId="49" fontId="15" fillId="0" borderId="50" xfId="0" applyNumberFormat="1" applyFont="1" applyBorder="1" applyAlignment="1">
      <alignment horizontal="center"/>
    </xf>
    <xf numFmtId="0" fontId="11" fillId="0" borderId="96" xfId="11" applyFont="1" applyBorder="1" applyAlignment="1">
      <alignment horizontal="center" vertical="center"/>
    </xf>
    <xf numFmtId="0" fontId="11" fillId="0" borderId="57" xfId="11" applyFont="1" applyBorder="1" applyAlignment="1">
      <alignment horizontal="center" vertical="center"/>
    </xf>
    <xf numFmtId="49" fontId="7" fillId="0" borderId="0" xfId="11" applyNumberFormat="1" applyFont="1" applyAlignment="1">
      <alignment horizontal="center"/>
    </xf>
    <xf numFmtId="3" fontId="11" fillId="0" borderId="96" xfId="31" applyNumberFormat="1" applyFont="1" applyFill="1" applyBorder="1" applyAlignment="1" applyProtection="1">
      <alignment horizontal="center" vertical="center" wrapText="1"/>
    </xf>
    <xf numFmtId="3" fontId="11" fillId="0" borderId="57" xfId="31" applyNumberFormat="1" applyFont="1" applyFill="1" applyBorder="1" applyAlignment="1" applyProtection="1">
      <alignment horizontal="center" vertical="center" wrapText="1"/>
    </xf>
    <xf numFmtId="4" fontId="11" fillId="0" borderId="11" xfId="11" applyNumberFormat="1" applyFont="1" applyBorder="1" applyAlignment="1">
      <alignment horizontal="center" vertical="center" wrapText="1"/>
    </xf>
    <xf numFmtId="4" fontId="11" fillId="0" borderId="10" xfId="11" applyNumberFormat="1" applyFont="1" applyBorder="1" applyAlignment="1">
      <alignment horizontal="center" vertical="center" wrapText="1"/>
    </xf>
    <xf numFmtId="4" fontId="11" fillId="0" borderId="9" xfId="11" applyNumberFormat="1" applyFont="1" applyBorder="1" applyAlignment="1">
      <alignment horizontal="center" vertical="center" wrapText="1"/>
    </xf>
    <xf numFmtId="49" fontId="9" fillId="0" borderId="0" xfId="11" applyNumberFormat="1" applyFont="1" applyAlignment="1">
      <alignment horizontal="center"/>
    </xf>
    <xf numFmtId="3" fontId="9" fillId="0" borderId="0" xfId="11" applyNumberFormat="1" applyFont="1" applyFill="1" applyAlignment="1">
      <alignment horizontal="center"/>
    </xf>
    <xf numFmtId="3" fontId="9" fillId="0" borderId="0" xfId="11" applyNumberFormat="1" applyFont="1" applyFill="1" applyBorder="1" applyAlignment="1">
      <alignment horizontal="center" vertical="center"/>
    </xf>
    <xf numFmtId="3" fontId="9" fillId="0" borderId="0" xfId="11" applyNumberFormat="1" applyFont="1" applyFill="1" applyAlignment="1" applyProtection="1">
      <alignment horizontal="left"/>
      <protection locked="0"/>
    </xf>
    <xf numFmtId="3" fontId="9" fillId="0" borderId="0" xfId="11" applyNumberFormat="1" applyFont="1" applyFill="1" applyAlignment="1" applyProtection="1">
      <alignment horizontal="left" wrapText="1"/>
      <protection locked="0"/>
    </xf>
    <xf numFmtId="3" fontId="9" fillId="0" borderId="0" xfId="11" applyNumberFormat="1" applyFont="1" applyFill="1" applyAlignment="1" applyProtection="1">
      <protection locked="0"/>
    </xf>
    <xf numFmtId="0" fontId="12" fillId="0" borderId="0" xfId="11" applyFont="1" applyBorder="1" applyAlignment="1"/>
    <xf numFmtId="0" fontId="12" fillId="0" borderId="0" xfId="11" applyFont="1" applyAlignment="1"/>
    <xf numFmtId="0" fontId="12" fillId="0" borderId="0" xfId="11" applyFont="1" applyAlignment="1">
      <alignment wrapText="1"/>
    </xf>
    <xf numFmtId="165" fontId="9" fillId="0" borderId="0" xfId="31" applyNumberFormat="1" applyFont="1" applyFill="1" applyBorder="1" applyAlignment="1" applyProtection="1">
      <alignment horizontal="left" vertical="center" wrapText="1"/>
    </xf>
    <xf numFmtId="0" fontId="9" fillId="0" borderId="0" xfId="11" applyFont="1" applyAlignment="1">
      <alignment horizontal="center"/>
    </xf>
    <xf numFmtId="0" fontId="12" fillId="0" borderId="61" xfId="11" applyFont="1" applyBorder="1" applyAlignment="1">
      <alignment horizontal="center" vertical="center" wrapText="1"/>
    </xf>
    <xf numFmtId="0" fontId="12" fillId="0" borderId="63" xfId="11" applyFont="1" applyBorder="1" applyAlignment="1">
      <alignment horizontal="center" vertical="center" wrapText="1"/>
    </xf>
    <xf numFmtId="0" fontId="12" fillId="0" borderId="39" xfId="11" applyFont="1" applyBorder="1" applyAlignment="1">
      <alignment horizontal="center" vertical="center" wrapText="1"/>
    </xf>
    <xf numFmtId="0" fontId="12" fillId="0" borderId="14" xfId="11" applyFont="1" applyBorder="1" applyAlignment="1">
      <alignment horizontal="center" vertical="center" wrapText="1"/>
    </xf>
    <xf numFmtId="0" fontId="12" fillId="0" borderId="47" xfId="11" applyFont="1" applyBorder="1" applyAlignment="1">
      <alignment horizontal="center"/>
    </xf>
    <xf numFmtId="0" fontId="12" fillId="0" borderId="41" xfId="11" applyFont="1" applyBorder="1" applyAlignment="1">
      <alignment horizontal="center"/>
    </xf>
    <xf numFmtId="0" fontId="11" fillId="0" borderId="33" xfId="11" applyFont="1" applyBorder="1" applyAlignment="1">
      <alignment horizontal="center" vertical="center"/>
    </xf>
    <xf numFmtId="0" fontId="11" fillId="0" borderId="35" xfId="11" applyFont="1" applyBorder="1" applyAlignment="1">
      <alignment horizontal="center" vertical="center"/>
    </xf>
    <xf numFmtId="3" fontId="11" fillId="0" borderId="47" xfId="11" applyNumberFormat="1" applyFont="1" applyFill="1" applyBorder="1" applyAlignment="1">
      <alignment horizontal="left" vertical="center" wrapText="1" indent="2"/>
    </xf>
    <xf numFmtId="3" fontId="11" fillId="0" borderId="12" xfId="11" applyNumberFormat="1" applyFont="1" applyFill="1" applyBorder="1" applyAlignment="1">
      <alignment horizontal="left" vertical="center" wrapText="1" indent="2"/>
    </xf>
    <xf numFmtId="3" fontId="12" fillId="0" borderId="0" xfId="11" applyNumberFormat="1" applyFont="1" applyFill="1" applyAlignment="1">
      <alignment horizontal="center" vertical="center" wrapText="1"/>
    </xf>
    <xf numFmtId="3" fontId="11" fillId="0" borderId="33" xfId="11" applyNumberFormat="1" applyFont="1" applyFill="1" applyBorder="1" applyAlignment="1">
      <alignment horizontal="center" vertical="center"/>
    </xf>
    <xf numFmtId="3" fontId="11" fillId="0" borderId="35" xfId="11" applyNumberFormat="1" applyFont="1" applyFill="1" applyBorder="1" applyAlignment="1">
      <alignment horizontal="center" vertical="center"/>
    </xf>
    <xf numFmtId="3" fontId="11" fillId="0" borderId="47" xfId="11" applyNumberFormat="1" applyFont="1" applyFill="1" applyBorder="1" applyAlignment="1">
      <alignment horizontal="center" vertical="center"/>
    </xf>
    <xf numFmtId="3" fontId="11" fillId="0" borderId="41" xfId="11" applyNumberFormat="1" applyFont="1" applyFill="1" applyBorder="1" applyAlignment="1">
      <alignment horizontal="center" vertical="center"/>
    </xf>
    <xf numFmtId="3" fontId="11" fillId="0" borderId="12" xfId="11" applyNumberFormat="1" applyFont="1" applyFill="1" applyBorder="1" applyAlignment="1">
      <alignment horizontal="center" vertical="center"/>
    </xf>
    <xf numFmtId="3" fontId="24" fillId="0" borderId="0" xfId="11" applyNumberFormat="1" applyFont="1" applyFill="1" applyAlignment="1">
      <alignment horizontal="center" vertical="center" wrapText="1"/>
    </xf>
    <xf numFmtId="3" fontId="9" fillId="0" borderId="0" xfId="33" applyNumberFormat="1" applyFont="1" applyFill="1" applyAlignment="1" applyProtection="1">
      <alignment horizontal="center"/>
    </xf>
    <xf numFmtId="3" fontId="11" fillId="0" borderId="85" xfId="33" applyNumberFormat="1" applyFont="1" applyFill="1" applyBorder="1" applyAlignment="1" applyProtection="1">
      <alignment horizontal="left" vertical="center" indent="1"/>
    </xf>
    <xf numFmtId="3" fontId="11" fillId="0" borderId="41" xfId="33" applyNumberFormat="1" applyFont="1" applyFill="1" applyBorder="1" applyAlignment="1" applyProtection="1">
      <alignment horizontal="left" vertical="center" indent="1"/>
    </xf>
    <xf numFmtId="3" fontId="11" fillId="0" borderId="45" xfId="33" applyNumberFormat="1" applyFont="1" applyFill="1" applyBorder="1" applyAlignment="1" applyProtection="1">
      <alignment horizontal="left" vertical="center" indent="1"/>
    </xf>
    <xf numFmtId="3" fontId="11" fillId="0" borderId="12" xfId="33" applyNumberFormat="1" applyFont="1" applyFill="1" applyBorder="1" applyAlignment="1" applyProtection="1">
      <alignment horizontal="left" vertical="center" indent="1"/>
    </xf>
    <xf numFmtId="3" fontId="11" fillId="0" borderId="0" xfId="33" applyNumberFormat="1" applyFont="1" applyFill="1" applyBorder="1" applyAlignment="1" applyProtection="1">
      <alignment horizontal="left" vertical="center" indent="1"/>
    </xf>
    <xf numFmtId="3" fontId="7" fillId="0" borderId="0" xfId="31" applyNumberFormat="1" applyFont="1" applyFill="1" applyAlignment="1">
      <alignment horizontal="center"/>
    </xf>
    <xf numFmtId="0" fontId="9" fillId="0" borderId="0" xfId="11" applyFont="1" applyFill="1" applyAlignment="1">
      <alignment horizontal="center" vertical="center" wrapText="1"/>
    </xf>
    <xf numFmtId="49" fontId="11" fillId="0" borderId="47" xfId="11" applyNumberFormat="1" applyFont="1" applyFill="1" applyBorder="1" applyAlignment="1">
      <alignment horizontal="center" vertical="center" wrapText="1"/>
    </xf>
    <xf numFmtId="49" fontId="11" fillId="0" borderId="41" xfId="11" applyNumberFormat="1" applyFont="1" applyFill="1" applyBorder="1" applyAlignment="1">
      <alignment horizontal="center" vertical="center" wrapText="1"/>
    </xf>
    <xf numFmtId="49" fontId="11" fillId="0" borderId="12" xfId="11" applyNumberFormat="1" applyFont="1" applyFill="1" applyBorder="1" applyAlignment="1">
      <alignment horizontal="center" vertical="center" wrapText="1"/>
    </xf>
    <xf numFmtId="165" fontId="9" fillId="0" borderId="0" xfId="11" applyNumberFormat="1" applyFont="1" applyFill="1" applyAlignment="1">
      <alignment horizontal="center" vertical="center" wrapText="1"/>
    </xf>
    <xf numFmtId="165" fontId="10" fillId="0" borderId="43" xfId="11" applyNumberFormat="1" applyFont="1" applyFill="1" applyBorder="1" applyAlignment="1" applyProtection="1">
      <alignment horizontal="right" wrapText="1"/>
    </xf>
    <xf numFmtId="3" fontId="11" fillId="5" borderId="86" xfId="11" applyNumberFormat="1" applyFont="1" applyFill="1" applyBorder="1" applyAlignment="1">
      <alignment horizontal="center" vertical="center" wrapText="1"/>
    </xf>
    <xf numFmtId="3" fontId="11" fillId="5" borderId="99" xfId="11" applyNumberFormat="1" applyFont="1" applyFill="1" applyBorder="1" applyAlignment="1">
      <alignment horizontal="center" vertical="center" wrapText="1"/>
    </xf>
    <xf numFmtId="0" fontId="11" fillId="5" borderId="96" xfId="11" applyNumberFormat="1" applyFont="1" applyFill="1" applyBorder="1" applyAlignment="1">
      <alignment horizontal="center" vertical="center" wrapText="1"/>
    </xf>
    <xf numFmtId="0" fontId="11" fillId="5" borderId="92" xfId="11" applyNumberFormat="1" applyFont="1" applyFill="1" applyBorder="1" applyAlignment="1">
      <alignment horizontal="center" vertical="center" wrapText="1"/>
    </xf>
    <xf numFmtId="0" fontId="11" fillId="0" borderId="86" xfId="11" applyNumberFormat="1" applyFont="1" applyFill="1" applyBorder="1" applyAlignment="1">
      <alignment horizontal="center" vertical="center" wrapText="1"/>
    </xf>
    <xf numFmtId="0" fontId="11" fillId="0" borderId="99" xfId="11" applyNumberFormat="1" applyFont="1" applyFill="1" applyBorder="1" applyAlignment="1">
      <alignment horizontal="center" vertical="center" wrapText="1"/>
    </xf>
    <xf numFmtId="49" fontId="11" fillId="0" borderId="50" xfId="11" applyNumberFormat="1" applyFont="1" applyFill="1" applyBorder="1" applyAlignment="1">
      <alignment horizontal="center" vertical="center" wrapText="1"/>
    </xf>
    <xf numFmtId="49" fontId="11" fillId="0" borderId="29" xfId="11" applyNumberFormat="1" applyFont="1" applyFill="1" applyBorder="1" applyAlignment="1">
      <alignment horizontal="center" vertical="center" wrapText="1"/>
    </xf>
    <xf numFmtId="0" fontId="11" fillId="0" borderId="51" xfId="11" applyFont="1" applyFill="1" applyBorder="1" applyAlignment="1">
      <alignment horizontal="center" vertical="center" wrapText="1"/>
    </xf>
    <xf numFmtId="0" fontId="11" fillId="0" borderId="28" xfId="11" applyFont="1" applyFill="1" applyBorder="1" applyAlignment="1">
      <alignment horizontal="center" vertical="center" wrapText="1"/>
    </xf>
    <xf numFmtId="3" fontId="9" fillId="0" borderId="0" xfId="11" applyNumberFormat="1" applyFont="1" applyAlignment="1">
      <alignment horizontal="center"/>
    </xf>
    <xf numFmtId="3" fontId="4" fillId="0" borderId="0" xfId="11" applyNumberFormat="1" applyFont="1" applyFill="1" applyAlignment="1" applyProtection="1">
      <alignment horizontal="center"/>
      <protection locked="0"/>
    </xf>
    <xf numFmtId="3" fontId="4" fillId="0" borderId="0" xfId="11" applyNumberFormat="1" applyFont="1" applyFill="1" applyAlignment="1" applyProtection="1">
      <alignment horizontal="left"/>
      <protection locked="0"/>
    </xf>
    <xf numFmtId="0" fontId="38" fillId="0" borderId="61" xfId="11" applyFont="1" applyBorder="1" applyAlignment="1">
      <alignment horizontal="center"/>
    </xf>
    <xf numFmtId="0" fontId="38" fillId="0" borderId="39" xfId="11" applyFont="1" applyBorder="1" applyAlignment="1">
      <alignment horizontal="center"/>
    </xf>
    <xf numFmtId="0" fontId="16" fillId="0" borderId="0" xfId="11" applyNumberFormat="1" applyFont="1" applyAlignment="1">
      <alignment horizontal="left" vertical="top" wrapText="1"/>
    </xf>
    <xf numFmtId="0" fontId="39" fillId="0" borderId="0" xfId="11" applyNumberFormat="1" applyFont="1" applyAlignment="1">
      <alignment horizontal="left" vertical="top" wrapText="1"/>
    </xf>
    <xf numFmtId="0" fontId="16" fillId="0" borderId="0" xfId="11" applyNumberFormat="1" applyFont="1" applyAlignment="1">
      <alignment horizontal="justify" vertical="top"/>
    </xf>
    <xf numFmtId="0" fontId="16" fillId="0" borderId="0" xfId="11" applyNumberFormat="1" applyFont="1" applyAlignment="1">
      <alignment horizontal="justify" vertical="top" wrapText="1"/>
    </xf>
    <xf numFmtId="0" fontId="16" fillId="0" borderId="0" xfId="11" applyNumberFormat="1" applyFont="1" applyAlignment="1">
      <alignment horizontal="center" vertical="top" wrapText="1"/>
    </xf>
    <xf numFmtId="0" fontId="16" fillId="0" borderId="0" xfId="11" applyNumberFormat="1" applyFont="1" applyBorder="1" applyAlignment="1">
      <alignment horizontal="left" vertical="top" wrapText="1"/>
    </xf>
    <xf numFmtId="0" fontId="20" fillId="0" borderId="0" xfId="11" applyNumberFormat="1" applyFont="1" applyAlignment="1">
      <alignment horizontal="center" vertical="top"/>
    </xf>
    <xf numFmtId="0" fontId="16" fillId="0" borderId="0" xfId="11" applyNumberFormat="1" applyFont="1" applyAlignment="1">
      <alignment vertical="top" wrapText="1"/>
    </xf>
    <xf numFmtId="0" fontId="16" fillId="0" borderId="0" xfId="11" applyFont="1" applyAlignment="1">
      <alignment horizontal="justify" vertical="top" wrapText="1"/>
    </xf>
    <xf numFmtId="0" fontId="15" fillId="0" borderId="0" xfId="11" applyFont="1" applyAlignment="1">
      <alignment horizontal="left" vertical="top" wrapText="1"/>
    </xf>
    <xf numFmtId="0" fontId="16" fillId="0" borderId="0" xfId="11" applyFont="1" applyAlignment="1">
      <alignment horizontal="left" vertical="top" wrapText="1"/>
    </xf>
    <xf numFmtId="0" fontId="15" fillId="0" borderId="0" xfId="11" applyFont="1" applyAlignment="1">
      <alignment horizontal="justify" vertical="top" wrapText="1"/>
    </xf>
    <xf numFmtId="0" fontId="39" fillId="0" borderId="0" xfId="11" applyFont="1" applyAlignment="1">
      <alignment horizontal="left" vertical="top" wrapText="1"/>
    </xf>
    <xf numFmtId="0" fontId="16" fillId="0" borderId="0" xfId="11" applyNumberFormat="1" applyFont="1" applyAlignment="1">
      <alignment horizontal="left" vertical="top"/>
    </xf>
    <xf numFmtId="0" fontId="9" fillId="0" borderId="0" xfId="11" applyFont="1" applyAlignment="1">
      <alignment horizontal="center" vertical="center" wrapText="1"/>
    </xf>
    <xf numFmtId="0" fontId="12" fillId="0" borderId="61" xfId="11" applyFont="1" applyBorder="1" applyAlignment="1">
      <alignment horizontal="center" wrapText="1"/>
    </xf>
    <xf numFmtId="0" fontId="12" fillId="0" borderId="63" xfId="11" applyFont="1" applyBorder="1" applyAlignment="1">
      <alignment horizontal="center" wrapText="1"/>
    </xf>
    <xf numFmtId="0" fontId="12" fillId="0" borderId="39" xfId="11" applyFont="1" applyBorder="1" applyAlignment="1">
      <alignment horizontal="center" wrapText="1"/>
    </xf>
    <xf numFmtId="0" fontId="12" fillId="0" borderId="26" xfId="11" applyFont="1" applyBorder="1" applyAlignment="1">
      <alignment horizontal="center" wrapText="1"/>
    </xf>
    <xf numFmtId="0" fontId="12" fillId="0" borderId="61" xfId="11" applyFont="1" applyBorder="1" applyAlignment="1">
      <alignment horizontal="center"/>
    </xf>
    <xf numFmtId="0" fontId="12" fillId="0" borderId="38" xfId="11" applyFont="1" applyBorder="1" applyAlignment="1">
      <alignment horizontal="center"/>
    </xf>
    <xf numFmtId="0" fontId="12" fillId="0" borderId="39" xfId="11" applyFont="1" applyBorder="1" applyAlignment="1">
      <alignment horizontal="center"/>
    </xf>
    <xf numFmtId="49" fontId="7" fillId="0" borderId="0" xfId="11" applyNumberFormat="1" applyFont="1" applyFill="1" applyAlignment="1">
      <alignment vertical="center" wrapText="1"/>
    </xf>
    <xf numFmtId="49" fontId="12" fillId="0" borderId="0" xfId="11" applyNumberFormat="1" applyFont="1" applyFill="1" applyAlignment="1">
      <alignment vertical="center" wrapText="1"/>
    </xf>
    <xf numFmtId="49" fontId="11" fillId="0" borderId="96" xfId="11" applyNumberFormat="1" applyFont="1" applyFill="1" applyBorder="1" applyAlignment="1">
      <alignment horizontal="center" vertical="center" wrapText="1"/>
    </xf>
    <xf numFmtId="49" fontId="11" fillId="0" borderId="57" xfId="11" applyNumberFormat="1" applyFont="1" applyFill="1" applyBorder="1" applyAlignment="1">
      <alignment horizontal="center" vertical="center" wrapText="1"/>
    </xf>
    <xf numFmtId="49" fontId="11" fillId="0" borderId="92" xfId="11" applyNumberFormat="1" applyFont="1" applyFill="1" applyBorder="1" applyAlignment="1">
      <alignment horizontal="center" vertical="center" wrapText="1"/>
    </xf>
    <xf numFmtId="49" fontId="12" fillId="0" borderId="54" xfId="11" applyNumberFormat="1" applyFont="1" applyFill="1" applyBorder="1" applyAlignment="1">
      <alignment horizontal="center" vertical="center" wrapText="1"/>
    </xf>
    <xf numFmtId="49" fontId="12" fillId="0" borderId="55" xfId="11" applyNumberFormat="1" applyFont="1" applyFill="1" applyBorder="1" applyAlignment="1">
      <alignment horizontal="center"/>
    </xf>
    <xf numFmtId="49" fontId="12" fillId="0" borderId="49" xfId="11" applyNumberFormat="1" applyFont="1" applyFill="1" applyBorder="1" applyAlignment="1">
      <alignment horizontal="center"/>
    </xf>
    <xf numFmtId="49" fontId="12" fillId="0" borderId="59" xfId="11" applyNumberFormat="1" applyFont="1" applyFill="1" applyBorder="1" applyAlignment="1">
      <alignment horizontal="center"/>
    </xf>
    <xf numFmtId="49" fontId="12" fillId="0" borderId="49" xfId="11" applyNumberFormat="1" applyFont="1" applyFill="1" applyBorder="1" applyAlignment="1">
      <alignment horizontal="center" vertical="center" wrapText="1"/>
    </xf>
    <xf numFmtId="49" fontId="12" fillId="0" borderId="47" xfId="11" applyNumberFormat="1" applyFont="1" applyFill="1" applyBorder="1" applyAlignment="1">
      <alignment horizontal="center"/>
    </xf>
    <xf numFmtId="49" fontId="12" fillId="0" borderId="48" xfId="11" applyNumberFormat="1" applyFont="1" applyFill="1" applyBorder="1" applyAlignment="1">
      <alignment horizontal="center"/>
    </xf>
    <xf numFmtId="49" fontId="11" fillId="0" borderId="47" xfId="11" applyNumberFormat="1" applyFont="1" applyFill="1" applyBorder="1" applyAlignment="1">
      <alignment horizontal="center"/>
    </xf>
    <xf numFmtId="49" fontId="12" fillId="0" borderId="57" xfId="11" applyNumberFormat="1" applyFont="1" applyFill="1" applyBorder="1" applyAlignment="1">
      <alignment horizontal="center"/>
    </xf>
    <xf numFmtId="49" fontId="21" fillId="0" borderId="0" xfId="11" applyNumberFormat="1" applyFont="1" applyFill="1" applyAlignment="1">
      <alignment vertical="center" wrapText="1"/>
    </xf>
    <xf numFmtId="49" fontId="12" fillId="0" borderId="0" xfId="11" applyNumberFormat="1" applyFont="1" applyFill="1" applyBorder="1" applyAlignment="1">
      <alignment horizontal="right" vertical="center" wrapText="1"/>
    </xf>
    <xf numFmtId="3" fontId="16" fillId="0" borderId="20" xfId="0" applyNumberFormat="1" applyFont="1" applyFill="1" applyBorder="1"/>
    <xf numFmtId="3" fontId="16" fillId="0" borderId="2" xfId="0" applyNumberFormat="1" applyFont="1" applyFill="1" applyBorder="1"/>
    <xf numFmtId="3" fontId="16" fillId="0" borderId="18" xfId="0" applyNumberFormat="1" applyFont="1" applyFill="1" applyBorder="1"/>
    <xf numFmtId="3" fontId="16" fillId="0" borderId="4" xfId="0" applyNumberFormat="1" applyFont="1" applyFill="1" applyBorder="1"/>
    <xf numFmtId="3" fontId="16" fillId="0" borderId="25" xfId="0" applyNumberFormat="1" applyFont="1" applyFill="1" applyBorder="1"/>
    <xf numFmtId="3" fontId="16" fillId="0" borderId="26" xfId="0" applyNumberFormat="1" applyFont="1" applyFill="1" applyBorder="1"/>
    <xf numFmtId="164" fontId="12" fillId="0" borderId="55" xfId="11" applyNumberFormat="1" applyFont="1" applyFill="1" applyBorder="1" applyAlignment="1"/>
    <xf numFmtId="3" fontId="12" fillId="0" borderId="72" xfId="11" applyNumberFormat="1" applyFont="1" applyBorder="1" applyAlignment="1">
      <alignment wrapText="1"/>
    </xf>
    <xf numFmtId="0" fontId="12" fillId="0" borderId="55" xfId="11" applyNumberFormat="1" applyFont="1" applyFill="1" applyBorder="1" applyAlignment="1">
      <alignment horizontal="center" vertical="center" wrapText="1"/>
    </xf>
    <xf numFmtId="0" fontId="12" fillId="0" borderId="54" xfId="11" applyNumberFormat="1" applyFont="1" applyFill="1" applyBorder="1" applyAlignment="1">
      <alignment horizontal="center" vertical="center" wrapText="1"/>
    </xf>
    <xf numFmtId="0" fontId="12" fillId="0" borderId="60" xfId="11" applyNumberFormat="1" applyFont="1" applyFill="1" applyBorder="1" applyAlignment="1">
      <alignment horizontal="center" vertical="center" wrapText="1"/>
    </xf>
    <xf numFmtId="0" fontId="12" fillId="0" borderId="55" xfId="11" applyNumberFormat="1" applyFont="1" applyFill="1" applyBorder="1" applyAlignment="1">
      <alignment horizontal="center"/>
    </xf>
    <xf numFmtId="0" fontId="12" fillId="0" borderId="49" xfId="11" applyNumberFormat="1" applyFont="1" applyFill="1" applyBorder="1" applyAlignment="1">
      <alignment horizontal="center"/>
    </xf>
    <xf numFmtId="0" fontId="12" fillId="0" borderId="62" xfId="11" applyNumberFormat="1" applyFont="1" applyFill="1" applyBorder="1" applyAlignment="1">
      <alignment horizontal="center" vertical="center" wrapText="1"/>
    </xf>
    <xf numFmtId="0" fontId="12" fillId="0" borderId="63" xfId="11" applyNumberFormat="1" applyFont="1" applyFill="1" applyBorder="1" applyAlignment="1">
      <alignment horizontal="center" vertical="center" wrapText="1"/>
    </xf>
    <xf numFmtId="0" fontId="12" fillId="0" borderId="59" xfId="11" applyNumberFormat="1" applyFont="1" applyFill="1" applyBorder="1" applyAlignment="1">
      <alignment horizontal="center"/>
    </xf>
    <xf numFmtId="0" fontId="12" fillId="0" borderId="49" xfId="11" applyNumberFormat="1" applyFont="1" applyFill="1" applyBorder="1" applyAlignment="1">
      <alignment horizontal="center" vertical="center" wrapText="1"/>
    </xf>
    <xf numFmtId="0" fontId="12" fillId="0" borderId="17" xfId="11" applyFont="1" applyFill="1" applyBorder="1" applyAlignment="1"/>
    <xf numFmtId="0" fontId="12" fillId="0" borderId="18" xfId="11" applyFont="1" applyFill="1" applyBorder="1" applyAlignment="1">
      <alignment horizontal="justify"/>
    </xf>
    <xf numFmtId="0" fontId="12" fillId="0" borderId="18" xfId="11" applyFont="1" applyFill="1" applyBorder="1"/>
    <xf numFmtId="0" fontId="12" fillId="0" borderId="2" xfId="11" applyFont="1" applyFill="1" applyBorder="1" applyAlignment="1">
      <alignment horizontal="justify"/>
    </xf>
    <xf numFmtId="0" fontId="12" fillId="0" borderId="61" xfId="11" applyNumberFormat="1" applyFont="1" applyFill="1" applyBorder="1" applyAlignment="1">
      <alignment horizontal="center" vertical="center" wrapText="1"/>
    </xf>
    <xf numFmtId="0" fontId="12" fillId="0" borderId="48" xfId="11" applyNumberFormat="1" applyFont="1" applyFill="1" applyBorder="1" applyAlignment="1">
      <alignment horizontal="center"/>
    </xf>
    <xf numFmtId="0" fontId="12" fillId="0" borderId="38" xfId="11" applyFont="1" applyFill="1" applyBorder="1"/>
    <xf numFmtId="0" fontId="12" fillId="0" borderId="17" xfId="11" applyFont="1" applyFill="1" applyBorder="1"/>
    <xf numFmtId="0" fontId="12" fillId="0" borderId="31" xfId="11" applyFont="1" applyFill="1" applyBorder="1" applyAlignment="1">
      <alignment horizontal="justify"/>
    </xf>
    <xf numFmtId="0" fontId="12" fillId="0" borderId="32" xfId="11" applyFont="1" applyFill="1" applyBorder="1"/>
    <xf numFmtId="0" fontId="12" fillId="0" borderId="39" xfId="11" applyFont="1" applyFill="1" applyBorder="1"/>
    <xf numFmtId="3" fontId="12" fillId="0" borderId="60" xfId="11" applyNumberFormat="1" applyFont="1" applyFill="1" applyBorder="1" applyAlignment="1">
      <alignment vertical="center" wrapText="1"/>
    </xf>
    <xf numFmtId="3" fontId="12" fillId="0" borderId="16" xfId="11" applyNumberFormat="1" applyFont="1" applyFill="1" applyBorder="1" applyAlignment="1">
      <alignment vertical="center" wrapText="1"/>
    </xf>
    <xf numFmtId="3" fontId="12" fillId="0" borderId="17" xfId="11" applyNumberFormat="1" applyFont="1" applyFill="1" applyBorder="1" applyAlignment="1">
      <alignment vertical="center" wrapText="1"/>
    </xf>
    <xf numFmtId="3" fontId="12" fillId="0" borderId="62" xfId="11" applyNumberFormat="1" applyFont="1" applyFill="1" applyBorder="1" applyAlignment="1">
      <alignment vertical="center" wrapText="1"/>
    </xf>
    <xf numFmtId="3" fontId="12" fillId="0" borderId="2" xfId="11" applyNumberFormat="1" applyFont="1" applyFill="1" applyBorder="1" applyAlignment="1">
      <alignment vertical="center" wrapText="1"/>
    </xf>
    <xf numFmtId="3" fontId="12" fillId="0" borderId="18" xfId="11" applyNumberFormat="1" applyFont="1" applyFill="1" applyBorder="1" applyAlignment="1">
      <alignment vertical="center" wrapText="1"/>
    </xf>
    <xf numFmtId="3" fontId="12" fillId="0" borderId="61" xfId="11" applyNumberFormat="1" applyFont="1" applyFill="1" applyBorder="1" applyAlignment="1">
      <alignment vertical="center" wrapText="1"/>
    </xf>
    <xf numFmtId="3" fontId="12" fillId="0" borderId="38" xfId="11" applyNumberFormat="1" applyFont="1" applyFill="1" applyBorder="1" applyAlignment="1">
      <alignment vertical="center" wrapText="1"/>
    </xf>
    <xf numFmtId="3" fontId="12" fillId="0" borderId="39" xfId="11" applyNumberFormat="1" applyFont="1" applyFill="1" applyBorder="1" applyAlignment="1">
      <alignment vertical="center" wrapText="1"/>
    </xf>
    <xf numFmtId="3" fontId="12" fillId="0" borderId="55" xfId="11" applyNumberFormat="1" applyFont="1" applyFill="1" applyBorder="1" applyAlignment="1">
      <alignment vertical="center" wrapText="1"/>
    </xf>
    <xf numFmtId="3" fontId="12" fillId="0" borderId="2" xfId="11" applyNumberFormat="1" applyFont="1" applyFill="1" applyBorder="1" applyAlignment="1">
      <alignment wrapText="1"/>
    </xf>
    <xf numFmtId="3" fontId="12" fillId="0" borderId="18" xfId="11" applyNumberFormat="1" applyFont="1" applyFill="1" applyBorder="1" applyAlignment="1">
      <alignment wrapText="1"/>
    </xf>
    <xf numFmtId="3" fontId="12" fillId="0" borderId="25" xfId="11" applyNumberFormat="1" applyFont="1" applyFill="1" applyBorder="1" applyAlignment="1">
      <alignment vertical="center" wrapText="1"/>
    </xf>
    <xf numFmtId="3" fontId="12" fillId="0" borderId="62" xfId="11" applyNumberFormat="1" applyFont="1" applyFill="1" applyBorder="1" applyAlignment="1">
      <alignment wrapText="1"/>
    </xf>
    <xf numFmtId="3" fontId="12" fillId="0" borderId="63" xfId="11" applyNumberFormat="1" applyFont="1" applyFill="1" applyBorder="1" applyAlignment="1">
      <alignment vertical="center" wrapText="1"/>
    </xf>
    <xf numFmtId="3" fontId="12" fillId="0" borderId="68" xfId="11" applyNumberFormat="1" applyFont="1" applyBorder="1" applyAlignment="1">
      <alignment wrapText="1"/>
    </xf>
    <xf numFmtId="3" fontId="12" fillId="0" borderId="73" xfId="11" applyNumberFormat="1" applyFont="1" applyFill="1" applyBorder="1" applyAlignment="1">
      <alignment wrapText="1"/>
    </xf>
    <xf numFmtId="3" fontId="12" fillId="0" borderId="74" xfId="11" applyNumberFormat="1" applyFont="1" applyFill="1" applyBorder="1" applyAlignment="1">
      <alignment wrapText="1"/>
    </xf>
    <xf numFmtId="3" fontId="12" fillId="0" borderId="69" xfId="11" applyNumberFormat="1" applyFont="1" applyFill="1" applyBorder="1" applyAlignment="1">
      <alignment wrapText="1"/>
    </xf>
    <xf numFmtId="3" fontId="12" fillId="0" borderId="63" xfId="11" applyNumberFormat="1" applyFont="1" applyFill="1" applyBorder="1" applyAlignment="1">
      <alignment horizontal="center" vertical="center" wrapText="1"/>
    </xf>
    <xf numFmtId="3" fontId="12" fillId="0" borderId="24" xfId="11" applyNumberFormat="1" applyFont="1" applyFill="1" applyBorder="1" applyAlignment="1" applyProtection="1">
      <alignment horizontal="left" vertical="center" wrapText="1" indent="1"/>
      <protection locked="0"/>
    </xf>
    <xf numFmtId="1" fontId="12" fillId="0" borderId="25" xfId="11" applyNumberFormat="1" applyFont="1" applyFill="1" applyBorder="1" applyAlignment="1" applyProtection="1">
      <alignment horizontal="center" vertical="center" wrapText="1"/>
      <protection locked="0"/>
    </xf>
    <xf numFmtId="3" fontId="12" fillId="0" borderId="62" xfId="11" applyNumberFormat="1" applyFont="1" applyFill="1" applyBorder="1" applyAlignment="1" applyProtection="1">
      <alignment vertical="center" wrapText="1"/>
      <protection locked="0"/>
    </xf>
    <xf numFmtId="3" fontId="11" fillId="0" borderId="24" xfId="11" applyNumberFormat="1" applyFont="1" applyFill="1" applyBorder="1" applyAlignment="1">
      <alignment vertical="center" wrapText="1"/>
    </xf>
    <xf numFmtId="3" fontId="12" fillId="0" borderId="35" xfId="11" applyNumberFormat="1" applyFont="1" applyFill="1" applyBorder="1" applyAlignment="1" applyProtection="1">
      <alignment vertical="center" wrapText="1"/>
      <protection locked="0"/>
    </xf>
    <xf numFmtId="3" fontId="12" fillId="0" borderId="61" xfId="33" applyNumberFormat="1" applyFont="1" applyFill="1" applyBorder="1" applyAlignment="1" applyProtection="1">
      <alignment vertical="center"/>
      <protection locked="0"/>
    </xf>
    <xf numFmtId="3" fontId="12" fillId="0" borderId="38" xfId="33" applyNumberFormat="1" applyFont="1" applyFill="1" applyBorder="1" applyAlignment="1" applyProtection="1">
      <alignment vertical="center"/>
      <protection locked="0"/>
    </xf>
    <xf numFmtId="3" fontId="12" fillId="0" borderId="63" xfId="33" applyNumberFormat="1" applyFont="1" applyFill="1" applyBorder="1" applyAlignment="1" applyProtection="1">
      <alignment vertical="center"/>
      <protection locked="0"/>
    </xf>
    <xf numFmtId="3" fontId="12" fillId="0" borderId="25" xfId="33" applyNumberFormat="1" applyFont="1" applyFill="1" applyBorder="1" applyAlignment="1" applyProtection="1">
      <alignment vertical="center"/>
      <protection locked="0"/>
    </xf>
    <xf numFmtId="3" fontId="12" fillId="0" borderId="14" xfId="33" applyNumberFormat="1" applyFont="1" applyFill="1" applyBorder="1" applyAlignment="1" applyProtection="1">
      <alignment vertical="center"/>
      <protection locked="0"/>
    </xf>
    <xf numFmtId="3" fontId="17" fillId="0" borderId="59" xfId="0" applyNumberFormat="1" applyFont="1" applyFill="1" applyBorder="1"/>
    <xf numFmtId="3" fontId="17" fillId="0" borderId="26" xfId="0" applyNumberFormat="1" applyFont="1" applyFill="1" applyBorder="1"/>
    <xf numFmtId="3" fontId="16" fillId="0" borderId="48" xfId="0" applyNumberFormat="1" applyFont="1" applyBorder="1"/>
    <xf numFmtId="3" fontId="16" fillId="0" borderId="59" xfId="0" applyNumberFormat="1" applyFont="1" applyFill="1" applyBorder="1"/>
    <xf numFmtId="3" fontId="18" fillId="0" borderId="48" xfId="0" applyNumberFormat="1" applyFont="1" applyFill="1" applyBorder="1"/>
    <xf numFmtId="3" fontId="18" fillId="0" borderId="39" xfId="0" applyNumberFormat="1" applyFont="1" applyFill="1" applyBorder="1"/>
    <xf numFmtId="164" fontId="15" fillId="0" borderId="48" xfId="0" applyNumberFormat="1" applyFont="1" applyFill="1" applyBorder="1"/>
    <xf numFmtId="164" fontId="15" fillId="0" borderId="39" xfId="0" applyNumberFormat="1" applyFont="1" applyFill="1" applyBorder="1"/>
    <xf numFmtId="164" fontId="17" fillId="0" borderId="59" xfId="0" applyNumberFormat="1" applyFont="1" applyFill="1" applyBorder="1"/>
    <xf numFmtId="164" fontId="17" fillId="0" borderId="26" xfId="0" applyNumberFormat="1" applyFont="1" applyFill="1" applyBorder="1"/>
    <xf numFmtId="164" fontId="15" fillId="0" borderId="59" xfId="0" applyNumberFormat="1" applyFont="1" applyFill="1" applyBorder="1"/>
    <xf numFmtId="164" fontId="15" fillId="0" borderId="26" xfId="0" applyNumberFormat="1" applyFont="1" applyFill="1" applyBorder="1"/>
    <xf numFmtId="164" fontId="15" fillId="0" borderId="47" xfId="0" applyNumberFormat="1" applyFont="1" applyFill="1" applyBorder="1"/>
    <xf numFmtId="164" fontId="15" fillId="0" borderId="9" xfId="0" applyNumberFormat="1" applyFont="1" applyFill="1" applyBorder="1"/>
    <xf numFmtId="165" fontId="11" fillId="0" borderId="13" xfId="11" applyNumberFormat="1" applyFont="1" applyFill="1" applyBorder="1" applyAlignment="1" applyProtection="1">
      <alignment horizontal="center" vertical="center" wrapText="1"/>
    </xf>
    <xf numFmtId="165" fontId="11" fillId="0" borderId="45" xfId="11" applyNumberFormat="1" applyFont="1" applyFill="1" applyBorder="1" applyAlignment="1" applyProtection="1">
      <alignment horizontal="center" vertical="center" wrapText="1"/>
    </xf>
    <xf numFmtId="0" fontId="7" fillId="0" borderId="0" xfId="11" applyFont="1" applyFill="1" applyAlignment="1">
      <alignment horizontal="center"/>
    </xf>
    <xf numFmtId="0" fontId="9" fillId="0" borderId="0" xfId="11" applyFont="1" applyFill="1" applyBorder="1" applyAlignment="1">
      <alignment horizontal="center" wrapText="1"/>
    </xf>
    <xf numFmtId="0" fontId="12" fillId="0" borderId="0" xfId="11" applyFont="1" applyFill="1" applyBorder="1" applyAlignment="1">
      <alignment horizontal="center" wrapText="1"/>
    </xf>
    <xf numFmtId="0" fontId="11" fillId="0" borderId="13" xfId="11" applyFont="1" applyFill="1" applyBorder="1" applyAlignment="1">
      <alignment horizontal="center" vertical="center"/>
    </xf>
    <xf numFmtId="0" fontId="11" fillId="0" borderId="58" xfId="11" applyFont="1" applyFill="1" applyBorder="1" applyAlignment="1">
      <alignment horizontal="center" vertical="center"/>
    </xf>
    <xf numFmtId="0" fontId="11" fillId="0" borderId="98" xfId="11" applyFont="1" applyFill="1" applyBorder="1" applyAlignment="1">
      <alignment horizontal="center" vertical="center" wrapText="1"/>
    </xf>
    <xf numFmtId="0" fontId="11" fillId="0" borderId="1" xfId="11" applyFont="1" applyFill="1" applyBorder="1" applyAlignment="1">
      <alignment vertical="center"/>
    </xf>
    <xf numFmtId="0" fontId="11" fillId="0" borderId="3" xfId="11" applyFont="1" applyFill="1" applyBorder="1" applyAlignment="1">
      <alignment vertical="center"/>
    </xf>
    <xf numFmtId="0" fontId="11" fillId="0" borderId="46" xfId="11" applyFont="1" applyFill="1" applyBorder="1" applyAlignment="1">
      <alignment vertical="center" wrapText="1"/>
    </xf>
    <xf numFmtId="0" fontId="12" fillId="0" borderId="0" xfId="0" applyFont="1" applyFill="1" applyAlignment="1"/>
    <xf numFmtId="0" fontId="12" fillId="0" borderId="56" xfId="11" applyFont="1" applyFill="1" applyBorder="1" applyAlignment="1" applyProtection="1">
      <alignment horizontal="left" vertical="center" indent="1"/>
      <protection locked="0"/>
    </xf>
    <xf numFmtId="0" fontId="12" fillId="0" borderId="63" xfId="11" applyFont="1" applyFill="1" applyBorder="1" applyAlignment="1">
      <alignment horizontal="center" vertical="center"/>
    </xf>
    <xf numFmtId="0" fontId="12" fillId="0" borderId="4" xfId="11" applyFont="1" applyFill="1" applyBorder="1" applyAlignment="1" applyProtection="1">
      <alignment horizontal="left" vertical="center" indent="1"/>
      <protection locked="0"/>
    </xf>
    <xf numFmtId="0" fontId="11" fillId="0" borderId="11" xfId="11" applyFont="1" applyFill="1" applyBorder="1" applyAlignment="1">
      <alignment horizontal="center"/>
    </xf>
    <xf numFmtId="0" fontId="11" fillId="0" borderId="10" xfId="11" applyFont="1" applyFill="1" applyBorder="1" applyAlignment="1">
      <alignment vertical="center"/>
    </xf>
    <xf numFmtId="0" fontId="11" fillId="0" borderId="41" xfId="11" applyFont="1" applyFill="1" applyBorder="1" applyAlignment="1">
      <alignment vertical="center"/>
    </xf>
    <xf numFmtId="0" fontId="11" fillId="0" borderId="61" xfId="11" applyFont="1" applyFill="1" applyBorder="1" applyAlignment="1">
      <alignment horizontal="center"/>
    </xf>
    <xf numFmtId="0" fontId="11" fillId="0" borderId="38" xfId="11" applyFont="1" applyFill="1" applyBorder="1" applyAlignment="1">
      <alignment vertical="center"/>
    </xf>
    <xf numFmtId="0" fontId="11" fillId="0" borderId="15" xfId="11" applyFont="1" applyFill="1" applyBorder="1" applyAlignment="1">
      <alignment vertical="center"/>
    </xf>
    <xf numFmtId="0" fontId="11" fillId="0" borderId="60" xfId="11" applyFont="1" applyFill="1" applyBorder="1" applyAlignment="1">
      <alignment horizontal="center"/>
    </xf>
    <xf numFmtId="0" fontId="11" fillId="0" borderId="16" xfId="11" applyFont="1" applyFill="1" applyBorder="1" applyAlignment="1">
      <alignment vertical="center"/>
    </xf>
    <xf numFmtId="0" fontId="11" fillId="0" borderId="7" xfId="11" applyFont="1" applyFill="1" applyBorder="1" applyAlignment="1">
      <alignment vertical="center"/>
    </xf>
    <xf numFmtId="0" fontId="11" fillId="0" borderId="3" xfId="11" applyFont="1" applyFill="1" applyBorder="1" applyAlignment="1">
      <alignment horizontal="center" vertical="center"/>
    </xf>
    <xf numFmtId="0" fontId="11" fillId="0" borderId="46" xfId="11" applyFont="1" applyFill="1" applyBorder="1" applyAlignment="1">
      <alignment horizontal="center" vertical="center" wrapText="1"/>
    </xf>
    <xf numFmtId="0" fontId="12" fillId="0" borderId="49" xfId="11" applyFont="1" applyFill="1" applyBorder="1" applyAlignment="1">
      <alignment horizontal="center" vertical="center"/>
    </xf>
    <xf numFmtId="0" fontId="12" fillId="0" borderId="61" xfId="11" applyFont="1" applyFill="1" applyBorder="1" applyAlignment="1">
      <alignment horizontal="center"/>
    </xf>
    <xf numFmtId="0" fontId="12" fillId="0" borderId="60" xfId="11" applyFont="1" applyFill="1" applyBorder="1" applyAlignment="1">
      <alignment horizontal="center" vertical="center"/>
    </xf>
    <xf numFmtId="0" fontId="12" fillId="0" borderId="16" xfId="11" applyFont="1" applyFill="1" applyBorder="1" applyAlignment="1" applyProtection="1">
      <alignment horizontal="left" vertical="center" indent="1"/>
      <protection locked="0"/>
    </xf>
    <xf numFmtId="0" fontId="12" fillId="0" borderId="7" xfId="11" applyFont="1" applyFill="1" applyBorder="1" applyAlignment="1" applyProtection="1">
      <alignment horizontal="left" vertical="center" indent="1"/>
      <protection locked="0"/>
    </xf>
    <xf numFmtId="3" fontId="12" fillId="0" borderId="30" xfId="11" applyNumberFormat="1" applyFont="1" applyFill="1" applyBorder="1" applyAlignment="1" applyProtection="1">
      <alignment vertical="center"/>
      <protection locked="0"/>
    </xf>
    <xf numFmtId="0" fontId="12" fillId="0" borderId="0" xfId="0" applyFont="1" applyFill="1" applyAlignment="1">
      <alignment horizontal="left"/>
    </xf>
    <xf numFmtId="0" fontId="12" fillId="0" borderId="0" xfId="0" applyFont="1" applyFill="1" applyAlignment="1">
      <alignment horizontal="center"/>
    </xf>
    <xf numFmtId="3" fontId="11" fillId="0" borderId="58" xfId="11" applyNumberFormat="1" applyFont="1" applyBorder="1" applyAlignment="1">
      <alignment horizontal="center" vertical="center" wrapText="1"/>
    </xf>
    <xf numFmtId="3" fontId="12" fillId="0" borderId="8" xfId="11" applyNumberFormat="1" applyFont="1" applyBorder="1"/>
    <xf numFmtId="3" fontId="12" fillId="0" borderId="56" xfId="11" applyNumberFormat="1" applyFont="1" applyBorder="1"/>
    <xf numFmtId="3" fontId="6" fillId="0" borderId="56" xfId="11" applyNumberFormat="1" applyFont="1" applyBorder="1"/>
    <xf numFmtId="3" fontId="12" fillId="0" borderId="54" xfId="11" applyNumberFormat="1" applyFont="1" applyBorder="1"/>
    <xf numFmtId="3" fontId="12" fillId="0" borderId="14" xfId="11" applyNumberFormat="1" applyFont="1" applyBorder="1"/>
    <xf numFmtId="3" fontId="12" fillId="0" borderId="3" xfId="11" applyNumberFormat="1" applyFont="1" applyBorder="1"/>
    <xf numFmtId="3" fontId="12" fillId="0" borderId="58" xfId="11" applyNumberFormat="1" applyFont="1" applyBorder="1"/>
    <xf numFmtId="3" fontId="11" fillId="0" borderId="87" xfId="11" applyNumberFormat="1" applyFont="1" applyBorder="1"/>
    <xf numFmtId="3" fontId="11" fillId="0" borderId="87" xfId="11" applyNumberFormat="1" applyFont="1" applyFill="1" applyBorder="1"/>
    <xf numFmtId="3" fontId="11" fillId="2" borderId="87" xfId="11" applyNumberFormat="1" applyFont="1" applyFill="1" applyBorder="1"/>
    <xf numFmtId="3" fontId="11" fillId="2" borderId="14" xfId="11" applyNumberFormat="1" applyFont="1" applyFill="1" applyBorder="1"/>
    <xf numFmtId="3" fontId="21" fillId="0" borderId="0" xfId="11" applyNumberFormat="1" applyFont="1"/>
    <xf numFmtId="0" fontId="38" fillId="0" borderId="0" xfId="11" applyFont="1" applyBorder="1" applyAlignment="1">
      <alignment horizontal="center" vertical="center" wrapText="1"/>
    </xf>
    <xf numFmtId="0" fontId="38" fillId="0" borderId="0" xfId="11" applyFont="1" applyBorder="1" applyAlignment="1">
      <alignment horizontal="center" vertical="center" wrapText="1"/>
    </xf>
    <xf numFmtId="0" fontId="38" fillId="0" borderId="0" xfId="11" applyFont="1" applyBorder="1" applyAlignment="1">
      <alignment vertical="center" wrapText="1"/>
    </xf>
    <xf numFmtId="0" fontId="37" fillId="0" borderId="0" xfId="11" applyFont="1" applyBorder="1" applyAlignment="1">
      <alignment vertical="center"/>
    </xf>
    <xf numFmtId="0" fontId="65" fillId="0" borderId="0" xfId="11" applyFont="1" applyBorder="1" applyAlignment="1">
      <alignment horizontal="right" vertical="center"/>
    </xf>
    <xf numFmtId="0" fontId="38" fillId="0" borderId="61" xfId="11" applyFont="1" applyBorder="1" applyAlignment="1">
      <alignment horizontal="center" vertical="center"/>
    </xf>
    <xf numFmtId="0" fontId="38" fillId="0" borderId="54" xfId="11" applyFont="1" applyBorder="1" applyAlignment="1">
      <alignment horizontal="center" vertical="center"/>
    </xf>
    <xf numFmtId="0" fontId="38" fillId="0" borderId="89" xfId="11" applyFont="1" applyBorder="1" applyAlignment="1">
      <alignment horizontal="center" vertical="center"/>
    </xf>
    <xf numFmtId="0" fontId="38" fillId="0" borderId="100" xfId="11" applyFont="1" applyBorder="1" applyAlignment="1">
      <alignment horizontal="center" vertical="center"/>
    </xf>
    <xf numFmtId="0" fontId="37" fillId="0" borderId="55" xfId="11" applyFont="1" applyBorder="1" applyAlignment="1">
      <alignment horizontal="left" vertical="center"/>
    </xf>
    <xf numFmtId="0" fontId="37" fillId="0" borderId="7" xfId="11" applyFont="1" applyBorder="1" applyAlignment="1">
      <alignment horizontal="left" vertical="center"/>
    </xf>
    <xf numFmtId="0" fontId="37" fillId="0" borderId="49" xfId="11" applyFont="1" applyBorder="1" applyAlignment="1">
      <alignment horizontal="left" vertical="center"/>
    </xf>
    <xf numFmtId="0" fontId="37" fillId="0" borderId="42" xfId="11" applyFont="1" applyBorder="1" applyAlignment="1">
      <alignment horizontal="left" vertical="center"/>
    </xf>
    <xf numFmtId="0" fontId="38" fillId="0" borderId="11" xfId="11" applyFont="1" applyBorder="1" applyAlignment="1">
      <alignment horizontal="left"/>
    </xf>
    <xf numFmtId="0" fontId="38" fillId="0" borderId="58" xfId="11" applyFont="1" applyBorder="1" applyAlignment="1">
      <alignment horizontal="left"/>
    </xf>
    <xf numFmtId="0" fontId="38" fillId="0" borderId="47" xfId="11" applyFont="1" applyBorder="1" applyAlignment="1">
      <alignment horizontal="left"/>
    </xf>
    <xf numFmtId="0" fontId="37" fillId="0" borderId="41" xfId="11" applyFont="1" applyBorder="1" applyAlignment="1">
      <alignment horizontal="left"/>
    </xf>
    <xf numFmtId="0" fontId="37" fillId="0" borderId="49" xfId="11" applyFont="1" applyBorder="1" applyAlignment="1">
      <alignment horizontal="left"/>
    </xf>
    <xf numFmtId="0" fontId="37" fillId="0" borderId="42" xfId="11" applyFont="1" applyBorder="1" applyAlignment="1">
      <alignment horizontal="left"/>
    </xf>
    <xf numFmtId="0" fontId="37" fillId="0" borderId="53" xfId="11" applyFont="1" applyBorder="1" applyAlignment="1">
      <alignment horizontal="left"/>
    </xf>
    <xf numFmtId="0" fontId="37" fillId="0" borderId="44" xfId="11" applyFont="1" applyBorder="1" applyAlignment="1">
      <alignment horizontal="left"/>
    </xf>
    <xf numFmtId="0" fontId="38" fillId="0" borderId="47" xfId="11" applyFont="1" applyBorder="1" applyAlignment="1">
      <alignment horizontal="left" vertical="center" wrapText="1"/>
    </xf>
    <xf numFmtId="0" fontId="38" fillId="0" borderId="41" xfId="11" applyFont="1" applyBorder="1" applyAlignment="1">
      <alignment horizontal="left" vertical="center" wrapText="1"/>
    </xf>
    <xf numFmtId="0" fontId="38" fillId="0" borderId="47" xfId="11" applyFont="1" applyBorder="1" applyAlignment="1">
      <alignment horizontal="center" vertical="center" wrapText="1"/>
    </xf>
    <xf numFmtId="0" fontId="38" fillId="0" borderId="12" xfId="11" applyFont="1" applyBorder="1" applyAlignment="1">
      <alignment horizontal="center" vertical="center" wrapText="1"/>
    </xf>
    <xf numFmtId="0" fontId="38" fillId="0" borderId="47" xfId="11" applyFont="1" applyBorder="1" applyAlignment="1">
      <alignment horizontal="left" vertical="top" wrapText="1"/>
    </xf>
    <xf numFmtId="0" fontId="38" fillId="0" borderId="41" xfId="11" applyFont="1" applyBorder="1" applyAlignment="1">
      <alignment horizontal="left" vertical="top" wrapText="1"/>
    </xf>
    <xf numFmtId="3" fontId="15" fillId="0" borderId="2" xfId="11" applyNumberFormat="1" applyFont="1" applyFill="1" applyBorder="1" applyAlignment="1">
      <alignment vertical="top" wrapText="1"/>
    </xf>
    <xf numFmtId="3" fontId="16" fillId="0" borderId="2" xfId="11" applyNumberFormat="1" applyFont="1" applyBorder="1" applyAlignment="1">
      <alignment vertical="top"/>
    </xf>
    <xf numFmtId="3" fontId="16" fillId="0" borderId="2" xfId="11" applyNumberFormat="1" applyFont="1" applyFill="1" applyBorder="1" applyAlignment="1">
      <alignment vertical="top"/>
    </xf>
    <xf numFmtId="3" fontId="11" fillId="0" borderId="41" xfId="11" applyNumberFormat="1" applyFont="1" applyBorder="1" applyAlignment="1">
      <alignment horizontal="center" vertical="center" wrapText="1"/>
    </xf>
    <xf numFmtId="3" fontId="12" fillId="0" borderId="7" xfId="11" applyNumberFormat="1" applyFont="1" applyBorder="1"/>
    <xf numFmtId="3" fontId="12" fillId="0" borderId="42" xfId="11" applyNumberFormat="1" applyFont="1" applyBorder="1"/>
    <xf numFmtId="3" fontId="11" fillId="0" borderId="41" xfId="11" applyNumberFormat="1" applyFont="1" applyBorder="1"/>
    <xf numFmtId="3" fontId="6" fillId="0" borderId="42" xfId="11" applyNumberFormat="1" applyFont="1" applyBorder="1"/>
    <xf numFmtId="3" fontId="11" fillId="2" borderId="41" xfId="11" applyNumberFormat="1" applyFont="1" applyFill="1" applyBorder="1"/>
    <xf numFmtId="3" fontId="12" fillId="0" borderId="15" xfId="11" applyNumberFormat="1" applyFont="1" applyBorder="1"/>
    <xf numFmtId="3" fontId="12" fillId="0" borderId="5" xfId="11" applyNumberFormat="1" applyFont="1" applyBorder="1"/>
    <xf numFmtId="3" fontId="12" fillId="0" borderId="0" xfId="11" applyNumberFormat="1" applyFont="1" applyBorder="1"/>
    <xf numFmtId="3" fontId="12" fillId="0" borderId="41" xfId="11" applyNumberFormat="1" applyFont="1" applyBorder="1"/>
    <xf numFmtId="3" fontId="11" fillId="0" borderId="43" xfId="11" applyNumberFormat="1" applyFont="1" applyBorder="1"/>
    <xf numFmtId="3" fontId="11" fillId="0" borderId="43" xfId="11" applyNumberFormat="1" applyFont="1" applyFill="1" applyBorder="1"/>
    <xf numFmtId="3" fontId="11" fillId="2" borderId="43" xfId="11" applyNumberFormat="1" applyFont="1" applyFill="1" applyBorder="1"/>
    <xf numFmtId="3" fontId="11" fillId="2" borderId="5" xfId="11" applyNumberFormat="1" applyFont="1" applyFill="1" applyBorder="1"/>
  </cellXfs>
  <cellStyles count="43">
    <cellStyle name="Ezres 2" xfId="1"/>
    <cellStyle name="Ezres 2 2" xfId="2"/>
    <cellStyle name="Ezres 2 3" xfId="3"/>
    <cellStyle name="Ezres 3" xfId="4"/>
    <cellStyle name="Ezres 4" xfId="5"/>
    <cellStyle name="Hiperhivatkozás" xfId="6"/>
    <cellStyle name="ktsgv" xfId="7"/>
    <cellStyle name="Már látott hiperhivatkozás" xfId="8"/>
    <cellStyle name="Normál" xfId="0" builtinId="0"/>
    <cellStyle name="Normál 10" xfId="9"/>
    <cellStyle name="Normál 2" xfId="10"/>
    <cellStyle name="Normál 2 2" xfId="11"/>
    <cellStyle name="Normál 2 3" xfId="12"/>
    <cellStyle name="Normál 2 4" xfId="13"/>
    <cellStyle name="Normál 3" xfId="14"/>
    <cellStyle name="Normál 3 2" xfId="15"/>
    <cellStyle name="Normál 4" xfId="16"/>
    <cellStyle name="Normál 4 2" xfId="17"/>
    <cellStyle name="Normál 4 3" xfId="18"/>
    <cellStyle name="Normál 5" xfId="19"/>
    <cellStyle name="Normál 5 2" xfId="20"/>
    <cellStyle name="Normál 6" xfId="21"/>
    <cellStyle name="Normál 6 2" xfId="22"/>
    <cellStyle name="Normál 7" xfId="23"/>
    <cellStyle name="Normál 8" xfId="24"/>
    <cellStyle name="Normál 9" xfId="25"/>
    <cellStyle name="Normál_adótelj_terv04" xfId="26"/>
    <cellStyle name="Normal_KARSZJ3" xfId="27"/>
    <cellStyle name="Normál_ktgv2008_másodikforduló" xfId="28"/>
    <cellStyle name="Normal_KTRSZJ" xfId="29"/>
    <cellStyle name="Normál_kv05első" xfId="30"/>
    <cellStyle name="Normál_KVRENMUNKA" xfId="31"/>
    <cellStyle name="Normál_Munkafüzet1" xfId="32"/>
    <cellStyle name="Normál_SEGEDLETEK" xfId="33"/>
    <cellStyle name="Normál12" xfId="34"/>
    <cellStyle name="SIMA" xfId="35"/>
    <cellStyle name="Százalék" xfId="36" builtinId="5"/>
    <cellStyle name="Százalék 2" xfId="37"/>
    <cellStyle name="Százalék 2 2" xfId="38"/>
    <cellStyle name="Százalék 2 3" xfId="39"/>
    <cellStyle name="Százalék 2 4" xfId="40"/>
    <cellStyle name="Százalék 3" xfId="41"/>
    <cellStyle name="Százalék 4" xfId="42"/>
  </cellStyles>
  <dxfs count="1"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SEGIG-PC\Users\Dokumentumok\T&#246;bbc&#233;l&#250;Kist&#233;rs&#233;giT&#225;rsul&#225;s\Normat&#237;va_2006\BMelfogadott20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SEGIG-PC\Users\Dokumentumok\T&#246;bbc&#233;l&#250;Kist&#233;rs&#233;giT&#225;rsul&#225;s\Normat&#237;va_2007\normat&#237;vafelm&#233;r&#233;s200611h&#243;\4002_kit&#246;lt&#246;tt1204(V&#201;GLEGES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Segéd-összesítő"/>
      <sheetName val="Összesítő"/>
      <sheetName val="Adat-felmérő"/>
      <sheetName val="Közokt. kieg"/>
    </sheetNames>
    <sheetDataSet>
      <sheetData sheetId="0" refreshError="1">
        <row r="8">
          <cell r="CD8" t="str">
            <v>Aba</v>
          </cell>
        </row>
        <row r="9">
          <cell r="CD9" t="str">
            <v>Abádszalók</v>
          </cell>
        </row>
        <row r="10">
          <cell r="CD10" t="str">
            <v>Abaliget</v>
          </cell>
        </row>
        <row r="11">
          <cell r="CD11" t="str">
            <v>Abasár</v>
          </cell>
        </row>
        <row r="12">
          <cell r="CD12" t="str">
            <v>Abaújalpár</v>
          </cell>
        </row>
        <row r="13">
          <cell r="CD13" t="str">
            <v>Abaújkér</v>
          </cell>
        </row>
        <row r="14">
          <cell r="CD14" t="str">
            <v>Abaújlak</v>
          </cell>
        </row>
        <row r="15">
          <cell r="CD15" t="str">
            <v>Abaújszántó</v>
          </cell>
        </row>
        <row r="16">
          <cell r="CD16" t="str">
            <v>Abaújszolnok</v>
          </cell>
        </row>
        <row r="17">
          <cell r="CD17" t="str">
            <v>Abaújvár</v>
          </cell>
        </row>
        <row r="18">
          <cell r="CD18" t="str">
            <v>Abda</v>
          </cell>
        </row>
        <row r="19">
          <cell r="CD19" t="str">
            <v>Abod</v>
          </cell>
        </row>
        <row r="20">
          <cell r="CD20" t="str">
            <v>Abony</v>
          </cell>
        </row>
        <row r="21">
          <cell r="CD21" t="str">
            <v>Ábrahámhegy</v>
          </cell>
        </row>
        <row r="22">
          <cell r="CD22" t="str">
            <v>Ács</v>
          </cell>
        </row>
        <row r="23">
          <cell r="CD23" t="str">
            <v>Acsa</v>
          </cell>
        </row>
        <row r="24">
          <cell r="CD24" t="str">
            <v>Acsád</v>
          </cell>
        </row>
        <row r="25">
          <cell r="CD25" t="str">
            <v>Acsalag</v>
          </cell>
        </row>
        <row r="26">
          <cell r="CD26" t="str">
            <v>Ácsteszér</v>
          </cell>
        </row>
        <row r="27">
          <cell r="CD27" t="str">
            <v>Adács</v>
          </cell>
        </row>
        <row r="28">
          <cell r="CD28" t="str">
            <v>Ádánd</v>
          </cell>
        </row>
        <row r="29">
          <cell r="CD29" t="str">
            <v>Adásztevel</v>
          </cell>
        </row>
        <row r="30">
          <cell r="CD30" t="e">
            <v>#N/A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)"/>
      <sheetName val="2.2.2.-2.4. feladatok"/>
      <sheetName val="2.5.-2.8. feladatok"/>
      <sheetName val="Szakszolgálat-segéd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AH209"/>
  <sheetViews>
    <sheetView tabSelected="1" zoomScaleNormal="100" workbookViewId="0">
      <selection activeCell="I8" sqref="I8"/>
    </sheetView>
  </sheetViews>
  <sheetFormatPr defaultColWidth="10.5703125" defaultRowHeight="12"/>
  <cols>
    <col min="1" max="1" width="5.42578125" style="617" bestFit="1" customWidth="1"/>
    <col min="2" max="2" width="3.7109375" style="943" hidden="1" customWidth="1"/>
    <col min="3" max="3" width="7.85546875" style="1056" customWidth="1"/>
    <col min="4" max="4" width="78.42578125" style="548" hidden="1" customWidth="1"/>
    <col min="5" max="5" width="10.5703125" style="1314" hidden="1" customWidth="1"/>
    <col min="6" max="6" width="73" style="343" customWidth="1"/>
    <col min="7" max="7" width="10.85546875" style="549" customWidth="1"/>
    <col min="8" max="8" width="10.85546875" style="550" customWidth="1"/>
    <col min="9" max="9" width="10.85546875" style="343" customWidth="1"/>
    <col min="10" max="10" width="11.42578125" style="343" customWidth="1"/>
    <col min="11" max="11" width="10.85546875" style="343" customWidth="1"/>
    <col min="12" max="12" width="11.28515625" style="343" customWidth="1"/>
    <col min="13" max="13" width="11.7109375" style="549" customWidth="1"/>
    <col min="14" max="14" width="10.85546875" style="549" customWidth="1"/>
    <col min="15" max="16" width="10.85546875" style="343" customWidth="1"/>
    <col min="17" max="17" width="11.28515625" style="343" customWidth="1"/>
    <col min="18" max="18" width="10.85546875" style="549" customWidth="1"/>
    <col min="19" max="20" width="10.85546875" style="343" customWidth="1"/>
    <col min="21" max="25" width="10.5703125" style="343"/>
    <col min="26" max="26" width="10.85546875" style="549" customWidth="1"/>
    <col min="27" max="30" width="10.5703125" style="343"/>
    <col min="31" max="31" width="10.85546875" style="549" customWidth="1"/>
    <col min="32" max="32" width="10.5703125" style="343" customWidth="1"/>
    <col min="33" max="16384" width="10.5703125" style="343"/>
  </cols>
  <sheetData>
    <row r="1" spans="1:34" s="341" customFormat="1" ht="15.75">
      <c r="A1" s="616"/>
      <c r="B1" s="942"/>
      <c r="C1" s="1055"/>
      <c r="D1" s="609"/>
      <c r="E1" s="1313"/>
      <c r="G1" s="536"/>
      <c r="H1" s="610"/>
      <c r="M1" s="536"/>
      <c r="N1" s="536"/>
      <c r="R1" s="536"/>
      <c r="S1" s="218"/>
      <c r="T1" s="218"/>
      <c r="Z1" s="536"/>
      <c r="AE1" s="536"/>
    </row>
    <row r="2" spans="1:34" s="341" customFormat="1" ht="15.75" customHeight="1">
      <c r="A2" s="1159" t="s">
        <v>1581</v>
      </c>
      <c r="B2" s="1159"/>
      <c r="C2" s="1159"/>
      <c r="D2" s="1159"/>
      <c r="E2" s="1159"/>
      <c r="F2" s="1159"/>
      <c r="G2" s="1159"/>
      <c r="H2" s="1159"/>
      <c r="I2" s="1159"/>
      <c r="J2" s="1159"/>
      <c r="K2" s="1159"/>
      <c r="L2" s="1159"/>
      <c r="M2" s="1159"/>
      <c r="N2" s="1159"/>
      <c r="O2" s="1159"/>
      <c r="P2" s="1159"/>
      <c r="Q2" s="1159"/>
      <c r="R2" s="1159"/>
      <c r="S2" s="1159"/>
      <c r="T2" s="1159"/>
      <c r="U2" s="1159"/>
      <c r="V2" s="1159"/>
      <c r="W2" s="1159"/>
      <c r="X2" s="1159"/>
      <c r="Y2" s="1159"/>
      <c r="Z2" s="1159"/>
      <c r="AA2" s="1159"/>
      <c r="AB2" s="1159"/>
      <c r="AC2" s="1159"/>
      <c r="AD2" s="1159"/>
      <c r="AE2" s="1159"/>
      <c r="AF2" s="536"/>
      <c r="AG2" s="536"/>
      <c r="AH2" s="536"/>
    </row>
    <row r="3" spans="1:34" s="341" customFormat="1" ht="15.75" customHeight="1">
      <c r="A3" s="1159" t="s">
        <v>768</v>
      </c>
      <c r="B3" s="1159"/>
      <c r="C3" s="1159"/>
      <c r="D3" s="1159"/>
      <c r="E3" s="1159"/>
      <c r="F3" s="1159"/>
      <c r="G3" s="1159"/>
      <c r="H3" s="1159"/>
      <c r="I3" s="1159"/>
      <c r="J3" s="1159"/>
      <c r="K3" s="1159"/>
      <c r="L3" s="1159"/>
      <c r="M3" s="1159"/>
      <c r="N3" s="1159"/>
      <c r="O3" s="1159"/>
      <c r="P3" s="1159"/>
      <c r="Q3" s="1159"/>
      <c r="R3" s="1159"/>
      <c r="S3" s="1159"/>
      <c r="T3" s="1159"/>
      <c r="U3" s="1159"/>
      <c r="V3" s="1159"/>
      <c r="W3" s="1159"/>
      <c r="X3" s="1159"/>
      <c r="Y3" s="1159"/>
      <c r="Z3" s="1159"/>
      <c r="AA3" s="1159"/>
      <c r="AB3" s="1159"/>
      <c r="AC3" s="1159"/>
      <c r="AD3" s="1159"/>
      <c r="AE3" s="1159"/>
    </row>
    <row r="4" spans="1:34" ht="12.75" thickBot="1">
      <c r="L4" s="273"/>
      <c r="S4" s="551"/>
      <c r="T4" s="551"/>
      <c r="AE4" s="273" t="s">
        <v>457</v>
      </c>
    </row>
    <row r="5" spans="1:34" ht="13.5" customHeight="1" thickBot="1">
      <c r="A5" s="1160" t="s">
        <v>17</v>
      </c>
      <c r="B5" s="1163" t="s">
        <v>1041</v>
      </c>
      <c r="C5" s="1166" t="s">
        <v>761</v>
      </c>
      <c r="D5" s="1169" t="s">
        <v>760</v>
      </c>
      <c r="E5" s="1315" t="s">
        <v>744</v>
      </c>
      <c r="F5" s="1172" t="s">
        <v>1349</v>
      </c>
      <c r="G5" s="1175" t="s">
        <v>48</v>
      </c>
      <c r="H5" s="1176"/>
      <c r="I5" s="1176"/>
      <c r="J5" s="1176"/>
      <c r="K5" s="1176"/>
      <c r="L5" s="1176"/>
      <c r="M5" s="1176"/>
      <c r="N5" s="1176"/>
      <c r="O5" s="1176"/>
      <c r="P5" s="1176"/>
      <c r="Q5" s="1176"/>
      <c r="R5" s="1177"/>
      <c r="S5" s="1175" t="s">
        <v>80</v>
      </c>
      <c r="T5" s="1176"/>
      <c r="U5" s="1176"/>
      <c r="V5" s="1176"/>
      <c r="W5" s="1176"/>
      <c r="X5" s="1176"/>
      <c r="Y5" s="1176"/>
      <c r="Z5" s="1176"/>
      <c r="AA5" s="1176"/>
      <c r="AB5" s="1176"/>
      <c r="AC5" s="1176"/>
      <c r="AD5" s="1176"/>
      <c r="AE5" s="1177"/>
    </row>
    <row r="6" spans="1:34" s="553" customFormat="1" ht="12.75" customHeight="1" thickBot="1">
      <c r="A6" s="1161"/>
      <c r="B6" s="1164"/>
      <c r="C6" s="1167"/>
      <c r="D6" s="1170"/>
      <c r="E6" s="1316"/>
      <c r="F6" s="1173"/>
      <c r="G6" s="1183" t="s">
        <v>1442</v>
      </c>
      <c r="H6" s="1181" t="s">
        <v>1509</v>
      </c>
      <c r="I6" s="1185" t="s">
        <v>745</v>
      </c>
      <c r="J6" s="1186"/>
      <c r="K6" s="1186"/>
      <c r="L6" s="1186"/>
      <c r="M6" s="1181" t="s">
        <v>1580</v>
      </c>
      <c r="N6" s="1181" t="s">
        <v>1510</v>
      </c>
      <c r="O6" s="1187" t="s">
        <v>745</v>
      </c>
      <c r="P6" s="1186"/>
      <c r="Q6" s="1188"/>
      <c r="R6" s="1181" t="s">
        <v>1582</v>
      </c>
      <c r="S6" s="1181" t="s">
        <v>1442</v>
      </c>
      <c r="T6" s="1181" t="s">
        <v>1509</v>
      </c>
      <c r="U6" s="1178" t="s">
        <v>745</v>
      </c>
      <c r="V6" s="1179"/>
      <c r="W6" s="1179"/>
      <c r="X6" s="1179"/>
      <c r="Y6" s="1180"/>
      <c r="Z6" s="1181" t="s">
        <v>1584</v>
      </c>
      <c r="AA6" s="1181" t="s">
        <v>1510</v>
      </c>
      <c r="AB6" s="1178" t="s">
        <v>745</v>
      </c>
      <c r="AC6" s="1179"/>
      <c r="AD6" s="1180"/>
      <c r="AE6" s="1181" t="s">
        <v>1583</v>
      </c>
    </row>
    <row r="7" spans="1:34" s="553" customFormat="1" ht="84" customHeight="1" thickBot="1">
      <c r="A7" s="1162"/>
      <c r="B7" s="1165"/>
      <c r="C7" s="1168"/>
      <c r="D7" s="1171"/>
      <c r="E7" s="1317"/>
      <c r="F7" s="1174"/>
      <c r="G7" s="1184"/>
      <c r="H7" s="1182"/>
      <c r="I7" s="340" t="s">
        <v>762</v>
      </c>
      <c r="J7" s="403" t="s">
        <v>524</v>
      </c>
      <c r="K7" s="403" t="s">
        <v>763</v>
      </c>
      <c r="L7" s="339" t="s">
        <v>764</v>
      </c>
      <c r="M7" s="1182"/>
      <c r="N7" s="1182"/>
      <c r="O7" s="340" t="s">
        <v>531</v>
      </c>
      <c r="P7" s="403" t="s">
        <v>532</v>
      </c>
      <c r="Q7" s="402" t="s">
        <v>533</v>
      </c>
      <c r="R7" s="1182"/>
      <c r="S7" s="1182"/>
      <c r="T7" s="1182"/>
      <c r="U7" s="340" t="s">
        <v>46</v>
      </c>
      <c r="V7" s="403" t="s">
        <v>446</v>
      </c>
      <c r="W7" s="403" t="s">
        <v>447</v>
      </c>
      <c r="X7" s="403" t="s">
        <v>765</v>
      </c>
      <c r="Y7" s="402" t="s">
        <v>449</v>
      </c>
      <c r="Z7" s="1182"/>
      <c r="AA7" s="1182"/>
      <c r="AB7" s="340" t="s">
        <v>450</v>
      </c>
      <c r="AC7" s="403" t="s">
        <v>451</v>
      </c>
      <c r="AD7" s="402" t="s">
        <v>452</v>
      </c>
      <c r="AE7" s="1182"/>
    </row>
    <row r="8" spans="1:34" s="553" customFormat="1">
      <c r="A8" s="618">
        <v>1</v>
      </c>
      <c r="B8" s="944">
        <v>1</v>
      </c>
      <c r="C8" s="1057" t="s">
        <v>667</v>
      </c>
      <c r="D8" s="1058" t="s">
        <v>666</v>
      </c>
      <c r="E8" s="1318">
        <v>999000</v>
      </c>
      <c r="F8" s="1059" t="s">
        <v>414</v>
      </c>
      <c r="G8" s="540">
        <f>+H8+M8+N8+R8</f>
        <v>0</v>
      </c>
      <c r="H8" s="541">
        <f t="shared" ref="H8:H98" si="0">+I8+J8+K8+L8</f>
        <v>0</v>
      </c>
      <c r="I8" s="875"/>
      <c r="J8" s="876"/>
      <c r="K8" s="876"/>
      <c r="L8" s="1060"/>
      <c r="M8" s="540"/>
      <c r="N8" s="541">
        <f>+O8+P8+Q8</f>
        <v>0</v>
      </c>
      <c r="O8" s="875"/>
      <c r="P8" s="876"/>
      <c r="Q8" s="877"/>
      <c r="R8" s="540"/>
      <c r="S8" s="540">
        <f>+T8+Z8+AA8+AE8</f>
        <v>0</v>
      </c>
      <c r="T8" s="541">
        <f>+U8+V8+W8+X8+Y8</f>
        <v>0</v>
      </c>
      <c r="U8" s="887"/>
      <c r="V8" s="885"/>
      <c r="W8" s="876"/>
      <c r="X8" s="876"/>
      <c r="Y8" s="877"/>
      <c r="Z8" s="540"/>
      <c r="AA8" s="541">
        <f t="shared" ref="AA8:AA67" si="1">+AB8+AC8+AD8</f>
        <v>0</v>
      </c>
      <c r="AB8" s="875"/>
      <c r="AC8" s="876"/>
      <c r="AD8" s="877"/>
      <c r="AE8" s="540"/>
    </row>
    <row r="9" spans="1:34" s="553" customFormat="1">
      <c r="A9" s="618">
        <f>+A8+1</f>
        <v>2</v>
      </c>
      <c r="B9" s="945">
        <v>8</v>
      </c>
      <c r="C9" s="1061" t="s">
        <v>667</v>
      </c>
      <c r="D9" s="1062" t="s">
        <v>666</v>
      </c>
      <c r="E9" s="1319" t="s">
        <v>1225</v>
      </c>
      <c r="F9" s="1063" t="s">
        <v>995</v>
      </c>
      <c r="G9" s="540">
        <f t="shared" ref="G9:G90" si="2">+H9+M9+N9+R9</f>
        <v>0</v>
      </c>
      <c r="H9" s="541">
        <f t="shared" si="0"/>
        <v>0</v>
      </c>
      <c r="I9" s="875"/>
      <c r="J9" s="876"/>
      <c r="K9" s="876"/>
      <c r="L9" s="1060"/>
      <c r="M9" s="540"/>
      <c r="N9" s="541">
        <f t="shared" ref="N9:N98" si="3">+O9+P9+Q9</f>
        <v>0</v>
      </c>
      <c r="O9" s="875"/>
      <c r="P9" s="876"/>
      <c r="Q9" s="877"/>
      <c r="R9" s="540"/>
      <c r="S9" s="540">
        <f t="shared" ref="S9:S90" si="4">+T9+Z9+AA9+AE9</f>
        <v>0</v>
      </c>
      <c r="T9" s="541">
        <f t="shared" ref="T9:T84" si="5">+U9+V9+W9+X9+Y9</f>
        <v>0</v>
      </c>
      <c r="U9" s="875"/>
      <c r="V9" s="878"/>
      <c r="W9" s="878"/>
      <c r="X9" s="878"/>
      <c r="Y9" s="879"/>
      <c r="Z9" s="540"/>
      <c r="AA9" s="541">
        <f t="shared" si="1"/>
        <v>0</v>
      </c>
      <c r="AB9" s="882"/>
      <c r="AC9" s="878"/>
      <c r="AD9" s="879"/>
      <c r="AE9" s="540"/>
    </row>
    <row r="10" spans="1:34" s="1118" customFormat="1">
      <c r="A10" s="1189" t="str">
        <f>+$C$196&amp;". "&amp;$F$196</f>
        <v>4. Önkormányzatok működési támogatásainak rendezése átvett pénzekről (múzeumi feladatok támogatása)</v>
      </c>
      <c r="B10" s="1190"/>
      <c r="C10" s="1190"/>
      <c r="D10" s="1190"/>
      <c r="E10" s="1190"/>
      <c r="F10" s="1191"/>
      <c r="G10" s="1111">
        <f>+H10+M10+N10+R10</f>
        <v>-6679</v>
      </c>
      <c r="H10" s="1112">
        <f>+I10+J10+K10+L10</f>
        <v>-6679</v>
      </c>
      <c r="I10" s="931">
        <v>-6679</v>
      </c>
      <c r="J10" s="932"/>
      <c r="K10" s="932"/>
      <c r="L10" s="1113"/>
      <c r="M10" s="1111"/>
      <c r="N10" s="1112">
        <f>+O10+P10+Q10</f>
        <v>0</v>
      </c>
      <c r="O10" s="931"/>
      <c r="P10" s="932"/>
      <c r="Q10" s="933"/>
      <c r="R10" s="1111"/>
      <c r="S10" s="1111">
        <f>+T10+Z10+AA10+AE10</f>
        <v>0</v>
      </c>
      <c r="T10" s="1112">
        <f>+U10+V10+W10+X10+Y10</f>
        <v>0</v>
      </c>
      <c r="U10" s="931"/>
      <c r="V10" s="1114"/>
      <c r="W10" s="1114"/>
      <c r="X10" s="1114"/>
      <c r="Y10" s="1115"/>
      <c r="Z10" s="1111"/>
      <c r="AA10" s="1112">
        <f>+AB10+AC10+AD10</f>
        <v>0</v>
      </c>
      <c r="AB10" s="1116"/>
      <c r="AC10" s="1114"/>
      <c r="AD10" s="1115"/>
      <c r="AE10" s="1111"/>
      <c r="AF10" s="1117">
        <f>-G10+S10</f>
        <v>6679</v>
      </c>
    </row>
    <row r="11" spans="1:34" s="1118" customFormat="1">
      <c r="A11" s="1189" t="str">
        <f>+$C$201&amp;". "&amp;$F$201</f>
        <v>9. ÖNK egyéb kiadásainak, bevételeinek felülvizsgálata</v>
      </c>
      <c r="B11" s="1190"/>
      <c r="C11" s="1190"/>
      <c r="D11" s="1190"/>
      <c r="E11" s="1190"/>
      <c r="F11" s="1191"/>
      <c r="G11" s="1111">
        <f>+H11+M11+N11+R11</f>
        <v>0</v>
      </c>
      <c r="H11" s="1112">
        <f t="shared" ref="H11" si="6">+I11+J11+K11+L11</f>
        <v>0</v>
      </c>
      <c r="I11" s="931"/>
      <c r="J11" s="932"/>
      <c r="K11" s="932"/>
      <c r="L11" s="1113"/>
      <c r="M11" s="1111"/>
      <c r="N11" s="1112">
        <f t="shared" ref="N11" si="7">+O11+P11+Q11</f>
        <v>0</v>
      </c>
      <c r="O11" s="931"/>
      <c r="P11" s="932"/>
      <c r="Q11" s="933"/>
      <c r="R11" s="1111"/>
      <c r="S11" s="1111">
        <f>+T11+Z11+AA11+AE11</f>
        <v>-7164</v>
      </c>
      <c r="T11" s="1112">
        <f t="shared" ref="T11" si="8">+U11+V11+W11+X11+Y11</f>
        <v>-7164</v>
      </c>
      <c r="U11" s="931"/>
      <c r="V11" s="1114"/>
      <c r="W11" s="1114">
        <f>-5334-540-1000+1210-1000-500</f>
        <v>-7164</v>
      </c>
      <c r="X11" s="1114"/>
      <c r="Y11" s="1115"/>
      <c r="Z11" s="1111"/>
      <c r="AA11" s="1112">
        <f>+AB11+AC11+AD11</f>
        <v>0</v>
      </c>
      <c r="AB11" s="1116"/>
      <c r="AC11" s="1114"/>
      <c r="AD11" s="1115"/>
      <c r="AE11" s="1111"/>
      <c r="AF11" s="1117">
        <f t="shared" ref="AF11" si="9">-G11+S11</f>
        <v>-7164</v>
      </c>
    </row>
    <row r="12" spans="1:34" s="1118" customFormat="1">
      <c r="A12" s="1192" t="str">
        <f>+$C$207&amp;". "&amp;$F$207</f>
        <v>15. Céltartalékok felülviszgálata</v>
      </c>
      <c r="B12" s="1193"/>
      <c r="C12" s="1193"/>
      <c r="D12" s="1193"/>
      <c r="E12" s="1193"/>
      <c r="F12" s="1194"/>
      <c r="G12" s="1111">
        <f t="shared" ref="G12" si="10">+H12+M12+N12+R12</f>
        <v>0</v>
      </c>
      <c r="H12" s="1112">
        <f t="shared" ref="H12" si="11">+I12+J12+K12+L12</f>
        <v>0</v>
      </c>
      <c r="I12" s="931"/>
      <c r="J12" s="932"/>
      <c r="K12" s="932"/>
      <c r="L12" s="1113"/>
      <c r="M12" s="1111"/>
      <c r="N12" s="1112">
        <f t="shared" ref="N12" si="12">+O12+P12+Q12</f>
        <v>0</v>
      </c>
      <c r="O12" s="931"/>
      <c r="P12" s="932"/>
      <c r="Q12" s="933"/>
      <c r="R12" s="1111"/>
      <c r="S12" s="1111">
        <f t="shared" ref="S12" si="13">+T12+Z12+AA12+AE12</f>
        <v>5740</v>
      </c>
      <c r="T12" s="1112">
        <f t="shared" si="5"/>
        <v>5740</v>
      </c>
      <c r="U12" s="931"/>
      <c r="V12" s="1119"/>
      <c r="W12" s="1119"/>
      <c r="X12" s="1119"/>
      <c r="Y12" s="1120">
        <f>-4425+(9500+665)</f>
        <v>5740</v>
      </c>
      <c r="Z12" s="1111"/>
      <c r="AA12" s="1112">
        <f t="shared" ref="AA12" si="14">+AB12+AC12+AD12</f>
        <v>0</v>
      </c>
      <c r="AB12" s="1121"/>
      <c r="AC12" s="1119"/>
      <c r="AD12" s="1120"/>
      <c r="AE12" s="1111"/>
      <c r="AF12" s="1117">
        <f t="shared" ref="AF12" si="15">-G12+S12</f>
        <v>5740</v>
      </c>
    </row>
    <row r="13" spans="1:34" s="553" customFormat="1">
      <c r="A13" s="618">
        <v>3</v>
      </c>
      <c r="B13" s="945">
        <v>7</v>
      </c>
      <c r="C13" s="1061" t="s">
        <v>667</v>
      </c>
      <c r="D13" s="1062" t="s">
        <v>1519</v>
      </c>
      <c r="E13" s="1319" t="s">
        <v>1225</v>
      </c>
      <c r="F13" s="1063" t="s">
        <v>1520</v>
      </c>
      <c r="G13" s="540">
        <f t="shared" si="2"/>
        <v>0</v>
      </c>
      <c r="H13" s="541">
        <f t="shared" si="0"/>
        <v>0</v>
      </c>
      <c r="I13" s="875"/>
      <c r="J13" s="876"/>
      <c r="K13" s="876"/>
      <c r="L13" s="1060"/>
      <c r="M13" s="540"/>
      <c r="N13" s="541">
        <f t="shared" si="3"/>
        <v>0</v>
      </c>
      <c r="O13" s="875"/>
      <c r="P13" s="876"/>
      <c r="Q13" s="877"/>
      <c r="R13" s="540"/>
      <c r="S13" s="540">
        <f t="shared" si="4"/>
        <v>0</v>
      </c>
      <c r="T13" s="541">
        <f t="shared" si="5"/>
        <v>0</v>
      </c>
      <c r="U13" s="875"/>
      <c r="V13" s="878"/>
      <c r="W13" s="878"/>
      <c r="X13" s="878"/>
      <c r="Y13" s="879"/>
      <c r="Z13" s="540"/>
      <c r="AA13" s="541">
        <f t="shared" si="1"/>
        <v>0</v>
      </c>
      <c r="AB13" s="882"/>
      <c r="AC13" s="878"/>
      <c r="AD13" s="879"/>
      <c r="AE13" s="540"/>
    </row>
    <row r="14" spans="1:34" s="557" customFormat="1">
      <c r="A14" s="618">
        <f t="shared" ref="A14:A85" si="16">+A13+1</f>
        <v>4</v>
      </c>
      <c r="B14" s="945">
        <v>8</v>
      </c>
      <c r="C14" s="1061" t="s">
        <v>675</v>
      </c>
      <c r="D14" s="1062" t="s">
        <v>858</v>
      </c>
      <c r="E14" s="1319" t="s">
        <v>1225</v>
      </c>
      <c r="F14" s="1063" t="s">
        <v>674</v>
      </c>
      <c r="G14" s="555">
        <f t="shared" si="2"/>
        <v>0</v>
      </c>
      <c r="H14" s="556">
        <f t="shared" si="0"/>
        <v>0</v>
      </c>
      <c r="I14" s="875"/>
      <c r="J14" s="876"/>
      <c r="K14" s="876"/>
      <c r="L14" s="1060"/>
      <c r="M14" s="555"/>
      <c r="N14" s="556">
        <f t="shared" si="3"/>
        <v>0</v>
      </c>
      <c r="O14" s="875"/>
      <c r="P14" s="876"/>
      <c r="Q14" s="877"/>
      <c r="R14" s="555"/>
      <c r="S14" s="555">
        <f t="shared" si="4"/>
        <v>0</v>
      </c>
      <c r="T14" s="556">
        <f t="shared" si="5"/>
        <v>0</v>
      </c>
      <c r="U14" s="875"/>
      <c r="V14" s="888"/>
      <c r="W14" s="888"/>
      <c r="X14" s="888"/>
      <c r="Y14" s="889"/>
      <c r="Z14" s="555"/>
      <c r="AA14" s="556">
        <f t="shared" si="1"/>
        <v>0</v>
      </c>
      <c r="AB14" s="892"/>
      <c r="AC14" s="888"/>
      <c r="AD14" s="889"/>
      <c r="AE14" s="555"/>
    </row>
    <row r="15" spans="1:34" s="553" customFormat="1">
      <c r="A15" s="618">
        <f>+A14+1</f>
        <v>5</v>
      </c>
      <c r="B15" s="945">
        <v>2</v>
      </c>
      <c r="C15" s="1061" t="s">
        <v>669</v>
      </c>
      <c r="D15" s="1062" t="s">
        <v>668</v>
      </c>
      <c r="E15" s="1320" t="s">
        <v>1225</v>
      </c>
      <c r="F15" s="1063" t="s">
        <v>634</v>
      </c>
      <c r="G15" s="558">
        <f t="shared" si="2"/>
        <v>0</v>
      </c>
      <c r="H15" s="559">
        <f>+I15+J15+K15+L15</f>
        <v>0</v>
      </c>
      <c r="I15" s="875"/>
      <c r="J15" s="876"/>
      <c r="K15" s="876"/>
      <c r="L15" s="1060"/>
      <c r="M15" s="558"/>
      <c r="N15" s="559">
        <f>+O15+P15+Q15</f>
        <v>0</v>
      </c>
      <c r="O15" s="875"/>
      <c r="P15" s="876"/>
      <c r="Q15" s="877"/>
      <c r="R15" s="558"/>
      <c r="S15" s="558">
        <f t="shared" si="4"/>
        <v>0</v>
      </c>
      <c r="T15" s="559">
        <f t="shared" si="5"/>
        <v>0</v>
      </c>
      <c r="U15" s="875"/>
      <c r="V15" s="878"/>
      <c r="W15" s="878"/>
      <c r="X15" s="878"/>
      <c r="Y15" s="879"/>
      <c r="Z15" s="558"/>
      <c r="AA15" s="559">
        <f t="shared" si="1"/>
        <v>0</v>
      </c>
      <c r="AB15" s="882"/>
      <c r="AC15" s="878"/>
      <c r="AD15" s="879"/>
      <c r="AE15" s="558"/>
    </row>
    <row r="16" spans="1:34" s="1118" customFormat="1">
      <c r="A16" s="1189" t="str">
        <f>+$C$195&amp;". "&amp;$F$195</f>
        <v>3. Helyi iparűzési adó</v>
      </c>
      <c r="B16" s="1190"/>
      <c r="C16" s="1190"/>
      <c r="D16" s="1190"/>
      <c r="E16" s="1190"/>
      <c r="F16" s="1191"/>
      <c r="G16" s="1111">
        <f>+H16+M16+N16+R16</f>
        <v>20000</v>
      </c>
      <c r="H16" s="1112">
        <f>+I16+J16+K16+L16</f>
        <v>20000</v>
      </c>
      <c r="I16" s="931"/>
      <c r="J16" s="932">
        <f>-$H$195</f>
        <v>20000</v>
      </c>
      <c r="K16" s="932"/>
      <c r="L16" s="1113"/>
      <c r="M16" s="1111"/>
      <c r="N16" s="1112">
        <f>+O16+P16+Q16</f>
        <v>0</v>
      </c>
      <c r="O16" s="931"/>
      <c r="P16" s="932"/>
      <c r="Q16" s="933"/>
      <c r="R16" s="1111"/>
      <c r="S16" s="1111">
        <f>+T16+Z16+AA16+AE16</f>
        <v>0</v>
      </c>
      <c r="T16" s="1112">
        <f>+U16+V16+W16+X16+Y16</f>
        <v>0</v>
      </c>
      <c r="U16" s="931"/>
      <c r="V16" s="1114"/>
      <c r="W16" s="1114"/>
      <c r="X16" s="1114"/>
      <c r="Y16" s="1115"/>
      <c r="Z16" s="1111"/>
      <c r="AA16" s="1112">
        <f>+AB16+AC16+AD16</f>
        <v>0</v>
      </c>
      <c r="AB16" s="1116"/>
      <c r="AC16" s="1114"/>
      <c r="AD16" s="1115"/>
      <c r="AE16" s="1111"/>
      <c r="AF16" s="1117">
        <f>-G16+S16</f>
        <v>-20000</v>
      </c>
    </row>
    <row r="17" spans="1:32" ht="12.75" customHeight="1">
      <c r="A17" s="618">
        <f>+A15+1</f>
        <v>6</v>
      </c>
      <c r="B17" s="945">
        <v>8</v>
      </c>
      <c r="C17" s="1061" t="s">
        <v>720</v>
      </c>
      <c r="D17" s="611" t="s">
        <v>719</v>
      </c>
      <c r="E17" s="1319" t="s">
        <v>1226</v>
      </c>
      <c r="F17" s="1064" t="s">
        <v>719</v>
      </c>
      <c r="G17" s="540">
        <f t="shared" si="2"/>
        <v>0</v>
      </c>
      <c r="H17" s="541">
        <f t="shared" si="0"/>
        <v>0</v>
      </c>
      <c r="I17" s="875"/>
      <c r="J17" s="876"/>
      <c r="K17" s="876"/>
      <c r="L17" s="1060"/>
      <c r="M17" s="540"/>
      <c r="N17" s="541">
        <f t="shared" si="3"/>
        <v>0</v>
      </c>
      <c r="O17" s="875"/>
      <c r="P17" s="876"/>
      <c r="Q17" s="877"/>
      <c r="R17" s="540"/>
      <c r="S17" s="540">
        <f t="shared" si="4"/>
        <v>0</v>
      </c>
      <c r="T17" s="541">
        <f t="shared" si="5"/>
        <v>0</v>
      </c>
      <c r="U17" s="875"/>
      <c r="V17" s="890"/>
      <c r="W17" s="890"/>
      <c r="X17" s="890"/>
      <c r="Y17" s="891"/>
      <c r="Z17" s="540"/>
      <c r="AA17" s="541">
        <f t="shared" si="1"/>
        <v>0</v>
      </c>
      <c r="AB17" s="893"/>
      <c r="AC17" s="890"/>
      <c r="AD17" s="891"/>
      <c r="AE17" s="540"/>
    </row>
    <row r="18" spans="1:32" s="1118" customFormat="1">
      <c r="A18" s="1189" t="str">
        <f>+$C$201&amp;". "&amp;$F$201</f>
        <v>9. ÖNK egyéb kiadásainak, bevételeinek felülvizsgálata</v>
      </c>
      <c r="B18" s="1190"/>
      <c r="C18" s="1190"/>
      <c r="D18" s="1190"/>
      <c r="E18" s="1190"/>
      <c r="F18" s="1191"/>
      <c r="G18" s="1111">
        <f>+H18+M18+N18+R18</f>
        <v>0</v>
      </c>
      <c r="H18" s="1112">
        <f t="shared" si="0"/>
        <v>0</v>
      </c>
      <c r="I18" s="931"/>
      <c r="J18" s="932"/>
      <c r="K18" s="932"/>
      <c r="L18" s="1113"/>
      <c r="M18" s="1111"/>
      <c r="N18" s="1112">
        <f t="shared" si="3"/>
        <v>0</v>
      </c>
      <c r="O18" s="931"/>
      <c r="P18" s="932"/>
      <c r="Q18" s="933"/>
      <c r="R18" s="1111"/>
      <c r="S18" s="1111">
        <f>+T18+Z18+AA18+AE18</f>
        <v>-5000</v>
      </c>
      <c r="T18" s="1112">
        <f t="shared" si="5"/>
        <v>-5000</v>
      </c>
      <c r="U18" s="931"/>
      <c r="V18" s="1114"/>
      <c r="W18" s="1114">
        <v>-5000</v>
      </c>
      <c r="X18" s="1114"/>
      <c r="Y18" s="1115"/>
      <c r="Z18" s="1111"/>
      <c r="AA18" s="1112">
        <f>+AB18+AC18+AD18</f>
        <v>0</v>
      </c>
      <c r="AB18" s="1116"/>
      <c r="AC18" s="1114"/>
      <c r="AD18" s="1115"/>
      <c r="AE18" s="1111"/>
      <c r="AF18" s="1117">
        <f t="shared" ref="AF18" si="17">-G18+S18</f>
        <v>-5000</v>
      </c>
    </row>
    <row r="19" spans="1:32" ht="12.75" customHeight="1">
      <c r="A19" s="618">
        <f>+A17+1</f>
        <v>7</v>
      </c>
      <c r="B19" s="945">
        <v>8</v>
      </c>
      <c r="C19" s="1061" t="s">
        <v>704</v>
      </c>
      <c r="D19" s="1062" t="s">
        <v>1056</v>
      </c>
      <c r="E19" s="1320" t="s">
        <v>1227</v>
      </c>
      <c r="F19" s="1065" t="s">
        <v>1058</v>
      </c>
      <c r="G19" s="558">
        <f t="shared" si="2"/>
        <v>0</v>
      </c>
      <c r="H19" s="559">
        <f t="shared" si="0"/>
        <v>0</v>
      </c>
      <c r="I19" s="875"/>
      <c r="J19" s="876"/>
      <c r="K19" s="876"/>
      <c r="L19" s="1060"/>
      <c r="M19" s="558"/>
      <c r="N19" s="559">
        <f t="shared" si="3"/>
        <v>0</v>
      </c>
      <c r="O19" s="875"/>
      <c r="P19" s="876"/>
      <c r="Q19" s="877"/>
      <c r="R19" s="558"/>
      <c r="S19" s="558">
        <f t="shared" si="4"/>
        <v>0</v>
      </c>
      <c r="T19" s="559">
        <f t="shared" si="5"/>
        <v>0</v>
      </c>
      <c r="U19" s="875"/>
      <c r="V19" s="878"/>
      <c r="W19" s="878"/>
      <c r="X19" s="878"/>
      <c r="Y19" s="879"/>
      <c r="Z19" s="558"/>
      <c r="AA19" s="559">
        <f t="shared" si="1"/>
        <v>0</v>
      </c>
      <c r="AB19" s="882"/>
      <c r="AC19" s="878"/>
      <c r="AD19" s="879"/>
      <c r="AE19" s="558"/>
    </row>
    <row r="20" spans="1:32" s="564" customFormat="1" ht="12.75" customHeight="1">
      <c r="A20" s="618">
        <f t="shared" si="16"/>
        <v>8</v>
      </c>
      <c r="B20" s="945">
        <v>8</v>
      </c>
      <c r="C20" s="1061" t="s">
        <v>704</v>
      </c>
      <c r="D20" s="1066" t="s">
        <v>1056</v>
      </c>
      <c r="E20" s="1320" t="s">
        <v>1228</v>
      </c>
      <c r="F20" s="1067" t="s">
        <v>650</v>
      </c>
      <c r="G20" s="558">
        <f t="shared" si="2"/>
        <v>0</v>
      </c>
      <c r="H20" s="559">
        <f t="shared" si="0"/>
        <v>0</v>
      </c>
      <c r="I20" s="875"/>
      <c r="J20" s="876"/>
      <c r="K20" s="876"/>
      <c r="L20" s="1060"/>
      <c r="M20" s="558"/>
      <c r="N20" s="559">
        <f t="shared" si="3"/>
        <v>0</v>
      </c>
      <c r="O20" s="875"/>
      <c r="P20" s="876"/>
      <c r="Q20" s="877"/>
      <c r="R20" s="558"/>
      <c r="S20" s="558">
        <f t="shared" si="4"/>
        <v>0</v>
      </c>
      <c r="T20" s="559">
        <f t="shared" si="5"/>
        <v>0</v>
      </c>
      <c r="U20" s="875"/>
      <c r="V20" s="878"/>
      <c r="W20" s="878"/>
      <c r="X20" s="878"/>
      <c r="Y20" s="879"/>
      <c r="Z20" s="558"/>
      <c r="AA20" s="559">
        <f t="shared" si="1"/>
        <v>0</v>
      </c>
      <c r="AB20" s="882"/>
      <c r="AC20" s="878"/>
      <c r="AD20" s="879"/>
      <c r="AE20" s="558"/>
    </row>
    <row r="21" spans="1:32">
      <c r="A21" s="618">
        <f>+A20+1</f>
        <v>9</v>
      </c>
      <c r="B21" s="945">
        <v>8</v>
      </c>
      <c r="C21" s="1061" t="s">
        <v>701</v>
      </c>
      <c r="D21" s="1062" t="s">
        <v>700</v>
      </c>
      <c r="E21" s="1320" t="s">
        <v>1229</v>
      </c>
      <c r="F21" s="1065" t="s">
        <v>776</v>
      </c>
      <c r="G21" s="558">
        <f t="shared" si="2"/>
        <v>0</v>
      </c>
      <c r="H21" s="559">
        <f t="shared" si="0"/>
        <v>0</v>
      </c>
      <c r="I21" s="875"/>
      <c r="J21" s="876"/>
      <c r="K21" s="876"/>
      <c r="L21" s="1060"/>
      <c r="M21" s="558"/>
      <c r="N21" s="559">
        <f t="shared" si="3"/>
        <v>0</v>
      </c>
      <c r="O21" s="875"/>
      <c r="P21" s="876"/>
      <c r="Q21" s="877"/>
      <c r="R21" s="558"/>
      <c r="S21" s="558">
        <f t="shared" si="4"/>
        <v>0</v>
      </c>
      <c r="T21" s="559">
        <f t="shared" si="5"/>
        <v>0</v>
      </c>
      <c r="U21" s="875"/>
      <c r="V21" s="878"/>
      <c r="W21" s="878"/>
      <c r="X21" s="878"/>
      <c r="Y21" s="879"/>
      <c r="Z21" s="558"/>
      <c r="AA21" s="559">
        <f t="shared" si="1"/>
        <v>0</v>
      </c>
      <c r="AB21" s="882"/>
      <c r="AC21" s="878"/>
      <c r="AD21" s="879"/>
      <c r="AE21" s="558"/>
    </row>
    <row r="22" spans="1:32">
      <c r="A22" s="618">
        <f t="shared" si="16"/>
        <v>10</v>
      </c>
      <c r="B22" s="945">
        <v>8</v>
      </c>
      <c r="C22" s="1061" t="s">
        <v>999</v>
      </c>
      <c r="D22" s="1062" t="s">
        <v>1000</v>
      </c>
      <c r="E22" s="1320" t="s">
        <v>1225</v>
      </c>
      <c r="F22" s="1065" t="s">
        <v>1001</v>
      </c>
      <c r="G22" s="558">
        <f t="shared" si="2"/>
        <v>0</v>
      </c>
      <c r="H22" s="559">
        <f t="shared" si="0"/>
        <v>0</v>
      </c>
      <c r="I22" s="875"/>
      <c r="J22" s="876"/>
      <c r="K22" s="876"/>
      <c r="L22" s="1060"/>
      <c r="M22" s="558"/>
      <c r="N22" s="559">
        <f t="shared" si="3"/>
        <v>0</v>
      </c>
      <c r="O22" s="875"/>
      <c r="P22" s="876"/>
      <c r="Q22" s="877"/>
      <c r="R22" s="558"/>
      <c r="S22" s="558">
        <f t="shared" si="4"/>
        <v>0</v>
      </c>
      <c r="T22" s="559">
        <f t="shared" si="5"/>
        <v>0</v>
      </c>
      <c r="U22" s="875"/>
      <c r="V22" s="878"/>
      <c r="W22" s="878"/>
      <c r="X22" s="878"/>
      <c r="Y22" s="879"/>
      <c r="Z22" s="558"/>
      <c r="AA22" s="559">
        <f t="shared" si="1"/>
        <v>0</v>
      </c>
      <c r="AB22" s="882"/>
      <c r="AC22" s="878"/>
      <c r="AD22" s="879"/>
      <c r="AE22" s="558"/>
    </row>
    <row r="23" spans="1:32" s="1118" customFormat="1">
      <c r="A23" s="1189" t="str">
        <f>+$C$201&amp;". "&amp;$F$201</f>
        <v>9. ÖNK egyéb kiadásainak, bevételeinek felülvizsgálata</v>
      </c>
      <c r="B23" s="1190"/>
      <c r="C23" s="1190"/>
      <c r="D23" s="1190"/>
      <c r="E23" s="1190"/>
      <c r="F23" s="1191"/>
      <c r="G23" s="1111">
        <f>+H23+M23+N23+R23</f>
        <v>0</v>
      </c>
      <c r="H23" s="1112">
        <f t="shared" ref="H23" si="18">+I23+J23+K23+L23</f>
        <v>0</v>
      </c>
      <c r="I23" s="931"/>
      <c r="J23" s="932"/>
      <c r="K23" s="932"/>
      <c r="L23" s="1113"/>
      <c r="M23" s="1111"/>
      <c r="N23" s="1112">
        <f t="shared" ref="N23" si="19">+O23+P23+Q23</f>
        <v>0</v>
      </c>
      <c r="O23" s="931"/>
      <c r="P23" s="932"/>
      <c r="Q23" s="933"/>
      <c r="R23" s="1111"/>
      <c r="S23" s="1111">
        <f>+T23+Z23+AA23+AE23</f>
        <v>-6500</v>
      </c>
      <c r="T23" s="1112">
        <f t="shared" ref="T23" si="20">+U23+V23+W23+X23+Y23</f>
        <v>-6500</v>
      </c>
      <c r="U23" s="931"/>
      <c r="V23" s="1114"/>
      <c r="W23" s="1114">
        <v>-6500</v>
      </c>
      <c r="X23" s="1114"/>
      <c r="Y23" s="1115"/>
      <c r="Z23" s="1111"/>
      <c r="AA23" s="1112">
        <f>+AB23+AC23+AD23</f>
        <v>0</v>
      </c>
      <c r="AB23" s="1116"/>
      <c r="AC23" s="1114"/>
      <c r="AD23" s="1115"/>
      <c r="AE23" s="1111"/>
      <c r="AF23" s="1117">
        <f t="shared" ref="AF23" si="21">-G23+S23</f>
        <v>-6500</v>
      </c>
    </row>
    <row r="24" spans="1:32">
      <c r="A24" s="618">
        <f>+A22+1</f>
        <v>11</v>
      </c>
      <c r="B24" s="945">
        <v>8</v>
      </c>
      <c r="C24" s="1061" t="s">
        <v>725</v>
      </c>
      <c r="D24" s="1062" t="s">
        <v>723</v>
      </c>
      <c r="E24" s="1320" t="s">
        <v>1225</v>
      </c>
      <c r="F24" s="1065" t="s">
        <v>721</v>
      </c>
      <c r="G24" s="558">
        <f t="shared" si="2"/>
        <v>0</v>
      </c>
      <c r="H24" s="559">
        <f t="shared" si="0"/>
        <v>0</v>
      </c>
      <c r="I24" s="875"/>
      <c r="J24" s="876"/>
      <c r="K24" s="876"/>
      <c r="L24" s="1060"/>
      <c r="M24" s="558"/>
      <c r="N24" s="559">
        <f t="shared" si="3"/>
        <v>0</v>
      </c>
      <c r="O24" s="875"/>
      <c r="P24" s="876"/>
      <c r="Q24" s="877"/>
      <c r="R24" s="558"/>
      <c r="S24" s="558">
        <f t="shared" si="4"/>
        <v>0</v>
      </c>
      <c r="T24" s="559">
        <f t="shared" si="5"/>
        <v>0</v>
      </c>
      <c r="U24" s="875"/>
      <c r="V24" s="878"/>
      <c r="W24" s="878"/>
      <c r="X24" s="878"/>
      <c r="Y24" s="879"/>
      <c r="Z24" s="558"/>
      <c r="AA24" s="559">
        <f t="shared" si="1"/>
        <v>0</v>
      </c>
      <c r="AB24" s="882"/>
      <c r="AC24" s="878"/>
      <c r="AD24" s="879"/>
      <c r="AE24" s="558"/>
    </row>
    <row r="25" spans="1:32">
      <c r="A25" s="618">
        <f>+A24+1</f>
        <v>12</v>
      </c>
      <c r="B25" s="945">
        <v>8</v>
      </c>
      <c r="C25" s="1061" t="s">
        <v>722</v>
      </c>
      <c r="D25" s="1062" t="s">
        <v>724</v>
      </c>
      <c r="E25" s="1320" t="s">
        <v>1225</v>
      </c>
      <c r="F25" s="1065" t="s">
        <v>651</v>
      </c>
      <c r="G25" s="558">
        <f t="shared" si="2"/>
        <v>0</v>
      </c>
      <c r="H25" s="559">
        <f t="shared" si="0"/>
        <v>0</v>
      </c>
      <c r="I25" s="875"/>
      <c r="J25" s="876"/>
      <c r="K25" s="876"/>
      <c r="L25" s="1060"/>
      <c r="M25" s="558"/>
      <c r="N25" s="559">
        <f t="shared" si="3"/>
        <v>0</v>
      </c>
      <c r="O25" s="875"/>
      <c r="P25" s="876"/>
      <c r="Q25" s="877"/>
      <c r="R25" s="558"/>
      <c r="S25" s="558">
        <f t="shared" si="4"/>
        <v>0</v>
      </c>
      <c r="T25" s="559">
        <f t="shared" si="5"/>
        <v>0</v>
      </c>
      <c r="U25" s="875"/>
      <c r="V25" s="878"/>
      <c r="W25" s="878"/>
      <c r="X25" s="878"/>
      <c r="Y25" s="879"/>
      <c r="Z25" s="558"/>
      <c r="AA25" s="559">
        <f t="shared" si="1"/>
        <v>0</v>
      </c>
      <c r="AB25" s="882"/>
      <c r="AC25" s="878"/>
      <c r="AD25" s="879"/>
      <c r="AE25" s="558"/>
    </row>
    <row r="26" spans="1:32" s="1118" customFormat="1">
      <c r="A26" s="1189" t="str">
        <f>+$C$196&amp;". "&amp;$F$196</f>
        <v>4. Önkormányzatok működési támogatásainak rendezése átvett pénzekről (múzeumi feladatok támogatása)</v>
      </c>
      <c r="B26" s="1190"/>
      <c r="C26" s="1190"/>
      <c r="D26" s="1190"/>
      <c r="E26" s="1190"/>
      <c r="F26" s="1191"/>
      <c r="G26" s="1111">
        <f>+H26+M26+N26+R26</f>
        <v>6679</v>
      </c>
      <c r="H26" s="1112">
        <f>+I26+J26+K26+L26</f>
        <v>6679</v>
      </c>
      <c r="I26" s="931">
        <v>6679</v>
      </c>
      <c r="J26" s="932"/>
      <c r="K26" s="932"/>
      <c r="L26" s="1113"/>
      <c r="M26" s="1111"/>
      <c r="N26" s="1112">
        <f>+O26+P26+Q26</f>
        <v>0</v>
      </c>
      <c r="O26" s="931"/>
      <c r="P26" s="932"/>
      <c r="Q26" s="933"/>
      <c r="R26" s="1111"/>
      <c r="S26" s="1111">
        <f>+T26+Z26+AA26+AE26</f>
        <v>0</v>
      </c>
      <c r="T26" s="1112">
        <f>+U26+V26+W26+X26+Y26</f>
        <v>0</v>
      </c>
      <c r="U26" s="931"/>
      <c r="V26" s="1114"/>
      <c r="W26" s="1114"/>
      <c r="X26" s="1114"/>
      <c r="Y26" s="1115"/>
      <c r="Z26" s="1111"/>
      <c r="AA26" s="1112">
        <f>+AB26+AC26+AD26</f>
        <v>0</v>
      </c>
      <c r="AB26" s="1116"/>
      <c r="AC26" s="1114"/>
      <c r="AD26" s="1115"/>
      <c r="AE26" s="1111"/>
      <c r="AF26" s="1117">
        <f>-G26+S26</f>
        <v>-6679</v>
      </c>
    </row>
    <row r="27" spans="1:32" s="1118" customFormat="1">
      <c r="A27" s="1189" t="str">
        <f>+$C$201&amp;". "&amp;$F$201</f>
        <v>9. ÖNK egyéb kiadásainak, bevételeinek felülvizsgálata</v>
      </c>
      <c r="B27" s="1190"/>
      <c r="C27" s="1190"/>
      <c r="D27" s="1190"/>
      <c r="E27" s="1190"/>
      <c r="F27" s="1191"/>
      <c r="G27" s="1111">
        <f>+H27+M27+N27+R27</f>
        <v>0</v>
      </c>
      <c r="H27" s="1112">
        <f t="shared" ref="H27" si="22">+I27+J27+K27+L27</f>
        <v>0</v>
      </c>
      <c r="I27" s="931"/>
      <c r="J27" s="932"/>
      <c r="K27" s="932"/>
      <c r="L27" s="1113"/>
      <c r="M27" s="1111"/>
      <c r="N27" s="1112">
        <f t="shared" ref="N27" si="23">+O27+P27+Q27</f>
        <v>0</v>
      </c>
      <c r="O27" s="931"/>
      <c r="P27" s="932"/>
      <c r="Q27" s="933"/>
      <c r="R27" s="1111"/>
      <c r="S27" s="1111">
        <f>+T27+Z27+AA27+AE27</f>
        <v>-4000</v>
      </c>
      <c r="T27" s="1112">
        <f t="shared" ref="T27" si="24">+U27+V27+W27+X27+Y27</f>
        <v>-4000</v>
      </c>
      <c r="U27" s="931"/>
      <c r="V27" s="1114"/>
      <c r="W27" s="1114"/>
      <c r="X27" s="1114"/>
      <c r="Y27" s="1115">
        <v>-4000</v>
      </c>
      <c r="Z27" s="1111"/>
      <c r="AA27" s="1112">
        <f>+AB27+AC27+AD27</f>
        <v>0</v>
      </c>
      <c r="AB27" s="1116"/>
      <c r="AC27" s="1114"/>
      <c r="AD27" s="1115"/>
      <c r="AE27" s="1111"/>
      <c r="AF27" s="1117">
        <f t="shared" ref="AF27" si="25">-G27+S27</f>
        <v>-4000</v>
      </c>
    </row>
    <row r="28" spans="1:32">
      <c r="A28" s="618">
        <f>+A25+1</f>
        <v>13</v>
      </c>
      <c r="B28" s="945">
        <v>8</v>
      </c>
      <c r="C28" s="1061" t="s">
        <v>1002</v>
      </c>
      <c r="D28" s="1062" t="s">
        <v>1003</v>
      </c>
      <c r="E28" s="1320" t="s">
        <v>1225</v>
      </c>
      <c r="F28" s="1065" t="s">
        <v>995</v>
      </c>
      <c r="G28" s="558">
        <f t="shared" si="2"/>
        <v>0</v>
      </c>
      <c r="H28" s="559">
        <f t="shared" si="0"/>
        <v>0</v>
      </c>
      <c r="I28" s="875"/>
      <c r="J28" s="876"/>
      <c r="K28" s="876"/>
      <c r="L28" s="1060"/>
      <c r="M28" s="558"/>
      <c r="N28" s="559">
        <f t="shared" si="3"/>
        <v>0</v>
      </c>
      <c r="O28" s="875"/>
      <c r="P28" s="876"/>
      <c r="Q28" s="877"/>
      <c r="R28" s="558"/>
      <c r="S28" s="558">
        <f t="shared" si="4"/>
        <v>0</v>
      </c>
      <c r="T28" s="559">
        <f t="shared" si="5"/>
        <v>0</v>
      </c>
      <c r="U28" s="875"/>
      <c r="V28" s="878"/>
      <c r="W28" s="878"/>
      <c r="X28" s="878"/>
      <c r="Y28" s="879"/>
      <c r="Z28" s="558"/>
      <c r="AA28" s="559">
        <f t="shared" si="1"/>
        <v>0</v>
      </c>
      <c r="AB28" s="882"/>
      <c r="AC28" s="878"/>
      <c r="AD28" s="879"/>
      <c r="AE28" s="558"/>
    </row>
    <row r="29" spans="1:32" s="1118" customFormat="1" ht="12" customHeight="1">
      <c r="A29" s="1189" t="str">
        <f>+$C$206&amp;". "&amp;$F$206</f>
        <v>14. MŐSZ negatív finanszírozás rendezése</v>
      </c>
      <c r="B29" s="1190"/>
      <c r="C29" s="1190"/>
      <c r="D29" s="1190"/>
      <c r="E29" s="1190"/>
      <c r="F29" s="1191"/>
      <c r="G29" s="1111">
        <f t="shared" si="2"/>
        <v>2040</v>
      </c>
      <c r="H29" s="1112">
        <f t="shared" si="0"/>
        <v>2040</v>
      </c>
      <c r="I29" s="931">
        <v>2040</v>
      </c>
      <c r="J29" s="932"/>
      <c r="K29" s="932"/>
      <c r="L29" s="1113"/>
      <c r="M29" s="1111"/>
      <c r="N29" s="1112">
        <f t="shared" si="3"/>
        <v>0</v>
      </c>
      <c r="O29" s="931"/>
      <c r="P29" s="932"/>
      <c r="Q29" s="933"/>
      <c r="R29" s="1111"/>
      <c r="S29" s="1111">
        <f t="shared" si="4"/>
        <v>0</v>
      </c>
      <c r="T29" s="1112">
        <f t="shared" si="5"/>
        <v>0</v>
      </c>
      <c r="U29" s="931"/>
      <c r="V29" s="1119"/>
      <c r="W29" s="1119"/>
      <c r="X29" s="1119"/>
      <c r="Y29" s="1120"/>
      <c r="Z29" s="1111"/>
      <c r="AA29" s="1112">
        <f t="shared" si="1"/>
        <v>0</v>
      </c>
      <c r="AB29" s="1121"/>
      <c r="AC29" s="1119"/>
      <c r="AD29" s="1120"/>
      <c r="AE29" s="1111"/>
      <c r="AF29" s="1117">
        <f>-G29+S29</f>
        <v>-2040</v>
      </c>
    </row>
    <row r="30" spans="1:32">
      <c r="A30" s="618">
        <f>+A28+1</f>
        <v>14</v>
      </c>
      <c r="B30" s="945">
        <v>6</v>
      </c>
      <c r="C30" s="1061" t="s">
        <v>727</v>
      </c>
      <c r="D30" s="1062" t="s">
        <v>726</v>
      </c>
      <c r="E30" s="1320" t="s">
        <v>1225</v>
      </c>
      <c r="F30" s="1065" t="s">
        <v>652</v>
      </c>
      <c r="G30" s="558">
        <f t="shared" si="2"/>
        <v>0</v>
      </c>
      <c r="H30" s="559">
        <f t="shared" si="0"/>
        <v>0</v>
      </c>
      <c r="I30" s="875"/>
      <c r="J30" s="876"/>
      <c r="K30" s="876"/>
      <c r="L30" s="1060"/>
      <c r="M30" s="558"/>
      <c r="N30" s="559">
        <f t="shared" si="3"/>
        <v>0</v>
      </c>
      <c r="O30" s="875"/>
      <c r="P30" s="876"/>
      <c r="Q30" s="877"/>
      <c r="R30" s="558"/>
      <c r="S30" s="558">
        <f t="shared" si="4"/>
        <v>0</v>
      </c>
      <c r="T30" s="559">
        <f t="shared" si="5"/>
        <v>0</v>
      </c>
      <c r="U30" s="875"/>
      <c r="V30" s="878"/>
      <c r="W30" s="878"/>
      <c r="X30" s="878"/>
      <c r="Y30" s="879"/>
      <c r="Z30" s="558"/>
      <c r="AA30" s="559">
        <f t="shared" si="1"/>
        <v>0</v>
      </c>
      <c r="AB30" s="882"/>
      <c r="AC30" s="878"/>
      <c r="AD30" s="879"/>
      <c r="AE30" s="558"/>
    </row>
    <row r="31" spans="1:32">
      <c r="A31" s="618">
        <f t="shared" si="16"/>
        <v>15</v>
      </c>
      <c r="B31" s="945">
        <v>6</v>
      </c>
      <c r="C31" s="1061" t="s">
        <v>709</v>
      </c>
      <c r="D31" s="1062" t="s">
        <v>661</v>
      </c>
      <c r="E31" s="1320" t="s">
        <v>1225</v>
      </c>
      <c r="F31" s="1065" t="s">
        <v>708</v>
      </c>
      <c r="G31" s="558">
        <f t="shared" si="2"/>
        <v>0</v>
      </c>
      <c r="H31" s="559">
        <f t="shared" si="0"/>
        <v>0</v>
      </c>
      <c r="I31" s="875"/>
      <c r="J31" s="876"/>
      <c r="K31" s="876"/>
      <c r="L31" s="1060"/>
      <c r="M31" s="558"/>
      <c r="N31" s="559">
        <f t="shared" si="3"/>
        <v>0</v>
      </c>
      <c r="O31" s="875"/>
      <c r="P31" s="876"/>
      <c r="Q31" s="877"/>
      <c r="R31" s="558"/>
      <c r="S31" s="558">
        <f t="shared" si="4"/>
        <v>0</v>
      </c>
      <c r="T31" s="559">
        <f t="shared" si="5"/>
        <v>0</v>
      </c>
      <c r="U31" s="875"/>
      <c r="V31" s="878"/>
      <c r="W31" s="878"/>
      <c r="X31" s="878"/>
      <c r="Y31" s="879"/>
      <c r="Z31" s="558"/>
      <c r="AA31" s="559">
        <f t="shared" si="1"/>
        <v>0</v>
      </c>
      <c r="AB31" s="882"/>
      <c r="AC31" s="878"/>
      <c r="AD31" s="879"/>
      <c r="AE31" s="558"/>
    </row>
    <row r="32" spans="1:32">
      <c r="A32" s="618">
        <f t="shared" si="16"/>
        <v>16</v>
      </c>
      <c r="B32" s="945">
        <v>6</v>
      </c>
      <c r="C32" s="1061" t="s">
        <v>710</v>
      </c>
      <c r="D32" s="1062" t="s">
        <v>662</v>
      </c>
      <c r="E32" s="1320" t="s">
        <v>1225</v>
      </c>
      <c r="F32" s="1065" t="s">
        <v>708</v>
      </c>
      <c r="G32" s="558">
        <f t="shared" si="2"/>
        <v>0</v>
      </c>
      <c r="H32" s="559">
        <f t="shared" si="0"/>
        <v>0</v>
      </c>
      <c r="I32" s="875"/>
      <c r="J32" s="876"/>
      <c r="K32" s="876"/>
      <c r="L32" s="1060"/>
      <c r="M32" s="558"/>
      <c r="N32" s="559">
        <f t="shared" si="3"/>
        <v>0</v>
      </c>
      <c r="O32" s="875"/>
      <c r="P32" s="876"/>
      <c r="Q32" s="877"/>
      <c r="R32" s="558"/>
      <c r="S32" s="558">
        <f t="shared" si="4"/>
        <v>0</v>
      </c>
      <c r="T32" s="559">
        <f t="shared" si="5"/>
        <v>0</v>
      </c>
      <c r="U32" s="875"/>
      <c r="V32" s="878"/>
      <c r="W32" s="878"/>
      <c r="X32" s="878"/>
      <c r="Y32" s="879"/>
      <c r="Z32" s="558"/>
      <c r="AA32" s="559">
        <f t="shared" si="1"/>
        <v>0</v>
      </c>
      <c r="AB32" s="882"/>
      <c r="AC32" s="878"/>
      <c r="AD32" s="879"/>
      <c r="AE32" s="558"/>
    </row>
    <row r="33" spans="1:32">
      <c r="A33" s="618">
        <f>+A32+1</f>
        <v>17</v>
      </c>
      <c r="B33" s="945">
        <v>6</v>
      </c>
      <c r="C33" s="1061" t="s">
        <v>712</v>
      </c>
      <c r="D33" s="1062" t="s">
        <v>713</v>
      </c>
      <c r="E33" s="1320" t="s">
        <v>1225</v>
      </c>
      <c r="F33" s="1065" t="s">
        <v>711</v>
      </c>
      <c r="G33" s="558">
        <f t="shared" si="2"/>
        <v>0</v>
      </c>
      <c r="H33" s="559">
        <f t="shared" si="0"/>
        <v>0</v>
      </c>
      <c r="I33" s="875"/>
      <c r="J33" s="876"/>
      <c r="K33" s="876"/>
      <c r="L33" s="1060"/>
      <c r="M33" s="558"/>
      <c r="N33" s="559">
        <f t="shared" si="3"/>
        <v>0</v>
      </c>
      <c r="O33" s="875"/>
      <c r="P33" s="876"/>
      <c r="Q33" s="877"/>
      <c r="R33" s="558"/>
      <c r="S33" s="558">
        <f t="shared" si="4"/>
        <v>0</v>
      </c>
      <c r="T33" s="559">
        <f t="shared" si="5"/>
        <v>0</v>
      </c>
      <c r="U33" s="875"/>
      <c r="V33" s="878"/>
      <c r="W33" s="878"/>
      <c r="X33" s="878"/>
      <c r="Y33" s="879"/>
      <c r="Z33" s="558"/>
      <c r="AA33" s="559">
        <f t="shared" si="1"/>
        <v>0</v>
      </c>
      <c r="AB33" s="882"/>
      <c r="AC33" s="878"/>
      <c r="AD33" s="879"/>
      <c r="AE33" s="558"/>
    </row>
    <row r="34" spans="1:32" s="1118" customFormat="1">
      <c r="A34" s="1189" t="str">
        <f>+$C$199&amp;". "&amp;$F$199</f>
        <v>7. Közfoglalkoztatás kiadásainak, bevételeinek felülvizsgálata</v>
      </c>
      <c r="B34" s="1190"/>
      <c r="C34" s="1190"/>
      <c r="D34" s="1190"/>
      <c r="E34" s="1190"/>
      <c r="F34" s="1191"/>
      <c r="G34" s="1111">
        <f>+H34+M34+N34+R34</f>
        <v>-2953</v>
      </c>
      <c r="H34" s="1112">
        <f>+I34+J34+K34+L34</f>
        <v>-2953</v>
      </c>
      <c r="I34" s="931">
        <v>-2953</v>
      </c>
      <c r="J34" s="932"/>
      <c r="K34" s="932"/>
      <c r="L34" s="1113"/>
      <c r="M34" s="1111"/>
      <c r="N34" s="1112">
        <f>+O34+P34+Q34</f>
        <v>0</v>
      </c>
      <c r="O34" s="931"/>
      <c r="P34" s="932"/>
      <c r="Q34" s="933"/>
      <c r="R34" s="1111"/>
      <c r="S34" s="1111">
        <f>+T34+Z34+AA34+AE34</f>
        <v>0</v>
      </c>
      <c r="T34" s="1112">
        <f>+U34+V34+W34+X34+Y34</f>
        <v>0</v>
      </c>
      <c r="U34" s="931"/>
      <c r="V34" s="1114"/>
      <c r="W34" s="1114"/>
      <c r="X34" s="1114"/>
      <c r="Y34" s="1115"/>
      <c r="Z34" s="1111"/>
      <c r="AA34" s="1112">
        <f>+AB34+AC34+AD34</f>
        <v>0</v>
      </c>
      <c r="AB34" s="1116"/>
      <c r="AC34" s="1114"/>
      <c r="AD34" s="1115"/>
      <c r="AE34" s="1111"/>
      <c r="AF34" s="1117">
        <f>-G34+S34</f>
        <v>2953</v>
      </c>
    </row>
    <row r="35" spans="1:32">
      <c r="A35" s="618">
        <f>+A33+1</f>
        <v>18</v>
      </c>
      <c r="B35" s="945">
        <v>6</v>
      </c>
      <c r="C35" s="1061" t="s">
        <v>716</v>
      </c>
      <c r="D35" s="1062" t="s">
        <v>717</v>
      </c>
      <c r="E35" s="1320" t="s">
        <v>1225</v>
      </c>
      <c r="F35" s="1065" t="s">
        <v>714</v>
      </c>
      <c r="G35" s="558">
        <f t="shared" si="2"/>
        <v>0</v>
      </c>
      <c r="H35" s="559">
        <f t="shared" si="0"/>
        <v>0</v>
      </c>
      <c r="I35" s="875"/>
      <c r="J35" s="876"/>
      <c r="K35" s="876"/>
      <c r="L35" s="1060"/>
      <c r="M35" s="558"/>
      <c r="N35" s="559">
        <f t="shared" si="3"/>
        <v>0</v>
      </c>
      <c r="O35" s="875"/>
      <c r="P35" s="876"/>
      <c r="Q35" s="877"/>
      <c r="R35" s="558"/>
      <c r="S35" s="558">
        <f t="shared" si="4"/>
        <v>0</v>
      </c>
      <c r="T35" s="559">
        <f t="shared" si="5"/>
        <v>0</v>
      </c>
      <c r="U35" s="875"/>
      <c r="V35" s="878"/>
      <c r="W35" s="878"/>
      <c r="X35" s="878"/>
      <c r="Y35" s="879"/>
      <c r="Z35" s="558"/>
      <c r="AA35" s="559">
        <f t="shared" si="1"/>
        <v>0</v>
      </c>
      <c r="AB35" s="882"/>
      <c r="AC35" s="878"/>
      <c r="AD35" s="879"/>
      <c r="AE35" s="558"/>
    </row>
    <row r="36" spans="1:32">
      <c r="A36" s="618">
        <f t="shared" si="16"/>
        <v>19</v>
      </c>
      <c r="B36" s="946">
        <v>8</v>
      </c>
      <c r="C36" s="396" t="s">
        <v>715</v>
      </c>
      <c r="D36" s="1062" t="s">
        <v>663</v>
      </c>
      <c r="E36" s="1320" t="s">
        <v>1225</v>
      </c>
      <c r="F36" s="1065" t="s">
        <v>714</v>
      </c>
      <c r="G36" s="558">
        <f t="shared" si="2"/>
        <v>0</v>
      </c>
      <c r="H36" s="559">
        <f t="shared" si="0"/>
        <v>0</v>
      </c>
      <c r="I36" s="875"/>
      <c r="J36" s="876"/>
      <c r="K36" s="876"/>
      <c r="L36" s="1060"/>
      <c r="M36" s="558"/>
      <c r="N36" s="559">
        <f t="shared" si="3"/>
        <v>0</v>
      </c>
      <c r="O36" s="875"/>
      <c r="P36" s="876"/>
      <c r="Q36" s="877"/>
      <c r="R36" s="558"/>
      <c r="S36" s="558">
        <f t="shared" si="4"/>
        <v>0</v>
      </c>
      <c r="T36" s="559">
        <f t="shared" si="5"/>
        <v>0</v>
      </c>
      <c r="U36" s="875"/>
      <c r="V36" s="878"/>
      <c r="W36" s="878"/>
      <c r="X36" s="878"/>
      <c r="Y36" s="879"/>
      <c r="Z36" s="558"/>
      <c r="AA36" s="559">
        <f t="shared" si="1"/>
        <v>0</v>
      </c>
      <c r="AB36" s="882"/>
      <c r="AC36" s="878"/>
      <c r="AD36" s="879"/>
      <c r="AE36" s="558"/>
    </row>
    <row r="37" spans="1:32" s="1118" customFormat="1">
      <c r="A37" s="1189" t="str">
        <f>+$C$199&amp;". "&amp;$F$199</f>
        <v>7. Közfoglalkoztatás kiadásainak, bevételeinek felülvizsgálata</v>
      </c>
      <c r="B37" s="1190"/>
      <c r="C37" s="1190"/>
      <c r="D37" s="1190"/>
      <c r="E37" s="1190"/>
      <c r="F37" s="1191"/>
      <c r="G37" s="1111">
        <f>+H37+M37+N37+R37</f>
        <v>16453</v>
      </c>
      <c r="H37" s="1112">
        <f>+I37+J37+K37+L37</f>
        <v>16453</v>
      </c>
      <c r="I37" s="931">
        <v>8453</v>
      </c>
      <c r="J37" s="932"/>
      <c r="K37" s="932">
        <v>8000</v>
      </c>
      <c r="L37" s="1113"/>
      <c r="M37" s="1111"/>
      <c r="N37" s="1112">
        <f>+O37+P37+Q37</f>
        <v>0</v>
      </c>
      <c r="O37" s="931"/>
      <c r="P37" s="932"/>
      <c r="Q37" s="933"/>
      <c r="R37" s="1111"/>
      <c r="S37" s="1111">
        <f>+T37+Z37+AA37+AE37</f>
        <v>0</v>
      </c>
      <c r="T37" s="1112">
        <f>+U37+V37+W37+X37+Y37</f>
        <v>0</v>
      </c>
      <c r="U37" s="931"/>
      <c r="V37" s="1114"/>
      <c r="W37" s="1114"/>
      <c r="X37" s="1114"/>
      <c r="Y37" s="1115"/>
      <c r="Z37" s="1111"/>
      <c r="AA37" s="1112">
        <f>+AB37+AC37+AD37</f>
        <v>0</v>
      </c>
      <c r="AB37" s="1116"/>
      <c r="AC37" s="1114"/>
      <c r="AD37" s="1115"/>
      <c r="AE37" s="1111"/>
      <c r="AF37" s="1117">
        <f>-G37+S37</f>
        <v>-16453</v>
      </c>
    </row>
    <row r="38" spans="1:32">
      <c r="A38" s="618">
        <f>+A36+1</f>
        <v>20</v>
      </c>
      <c r="B38" s="947">
        <v>5</v>
      </c>
      <c r="C38" s="393" t="s">
        <v>706</v>
      </c>
      <c r="D38" s="1068" t="s">
        <v>705</v>
      </c>
      <c r="E38" s="1321" t="s">
        <v>1230</v>
      </c>
      <c r="F38" s="1069" t="s">
        <v>1004</v>
      </c>
      <c r="G38" s="562">
        <f t="shared" si="2"/>
        <v>0</v>
      </c>
      <c r="H38" s="563">
        <f t="shared" si="0"/>
        <v>0</v>
      </c>
      <c r="I38" s="875"/>
      <c r="J38" s="876"/>
      <c r="K38" s="876"/>
      <c r="L38" s="1060"/>
      <c r="M38" s="562"/>
      <c r="N38" s="563">
        <f t="shared" si="3"/>
        <v>0</v>
      </c>
      <c r="O38" s="875"/>
      <c r="P38" s="876"/>
      <c r="Q38" s="877"/>
      <c r="R38" s="562"/>
      <c r="S38" s="558">
        <f t="shared" si="4"/>
        <v>0</v>
      </c>
      <c r="T38" s="559">
        <f t="shared" si="5"/>
        <v>0</v>
      </c>
      <c r="U38" s="875"/>
      <c r="V38" s="878"/>
      <c r="W38" s="878"/>
      <c r="X38" s="878"/>
      <c r="Y38" s="879"/>
      <c r="Z38" s="562"/>
      <c r="AA38" s="559">
        <f t="shared" si="1"/>
        <v>0</v>
      </c>
      <c r="AB38" s="882"/>
      <c r="AC38" s="878"/>
      <c r="AD38" s="879"/>
      <c r="AE38" s="562"/>
    </row>
    <row r="39" spans="1:32">
      <c r="A39" s="618">
        <f t="shared" si="16"/>
        <v>21</v>
      </c>
      <c r="B39" s="947">
        <v>8</v>
      </c>
      <c r="C39" s="393" t="s">
        <v>694</v>
      </c>
      <c r="D39" s="1068" t="s">
        <v>642</v>
      </c>
      <c r="E39" s="1321" t="s">
        <v>1225</v>
      </c>
      <c r="F39" s="1069" t="s">
        <v>642</v>
      </c>
      <c r="G39" s="562">
        <f t="shared" si="2"/>
        <v>0</v>
      </c>
      <c r="H39" s="563">
        <f t="shared" si="0"/>
        <v>0</v>
      </c>
      <c r="I39" s="875"/>
      <c r="J39" s="876"/>
      <c r="K39" s="876"/>
      <c r="L39" s="1060"/>
      <c r="M39" s="562"/>
      <c r="N39" s="563">
        <f t="shared" si="3"/>
        <v>0</v>
      </c>
      <c r="O39" s="875"/>
      <c r="P39" s="876"/>
      <c r="Q39" s="877"/>
      <c r="R39" s="562"/>
      <c r="S39" s="558">
        <f t="shared" si="4"/>
        <v>0</v>
      </c>
      <c r="T39" s="559">
        <f t="shared" si="5"/>
        <v>0</v>
      </c>
      <c r="U39" s="875"/>
      <c r="V39" s="878"/>
      <c r="W39" s="878"/>
      <c r="X39" s="878"/>
      <c r="Y39" s="879"/>
      <c r="Z39" s="562"/>
      <c r="AA39" s="559">
        <f t="shared" si="1"/>
        <v>0</v>
      </c>
      <c r="AB39" s="882"/>
      <c r="AC39" s="878"/>
      <c r="AD39" s="879"/>
      <c r="AE39" s="562"/>
    </row>
    <row r="40" spans="1:32" s="564" customFormat="1">
      <c r="A40" s="618">
        <f t="shared" si="16"/>
        <v>22</v>
      </c>
      <c r="B40" s="946">
        <v>5</v>
      </c>
      <c r="C40" s="396" t="s">
        <v>696</v>
      </c>
      <c r="D40" s="1062" t="s">
        <v>695</v>
      </c>
      <c r="E40" s="1320" t="s">
        <v>1247</v>
      </c>
      <c r="F40" s="1065" t="s">
        <v>695</v>
      </c>
      <c r="G40" s="558">
        <f t="shared" si="2"/>
        <v>0</v>
      </c>
      <c r="H40" s="559">
        <f t="shared" si="0"/>
        <v>0</v>
      </c>
      <c r="I40" s="875"/>
      <c r="J40" s="876"/>
      <c r="K40" s="876"/>
      <c r="L40" s="1060"/>
      <c r="M40" s="558"/>
      <c r="N40" s="559">
        <f t="shared" si="3"/>
        <v>0</v>
      </c>
      <c r="O40" s="875"/>
      <c r="P40" s="876"/>
      <c r="Q40" s="877"/>
      <c r="R40" s="558"/>
      <c r="S40" s="558">
        <f t="shared" si="4"/>
        <v>0</v>
      </c>
      <c r="T40" s="559">
        <f t="shared" si="5"/>
        <v>0</v>
      </c>
      <c r="U40" s="875"/>
      <c r="V40" s="878"/>
      <c r="W40" s="878"/>
      <c r="X40" s="878"/>
      <c r="Y40" s="879"/>
      <c r="Z40" s="558"/>
      <c r="AA40" s="559">
        <f t="shared" si="1"/>
        <v>0</v>
      </c>
      <c r="AB40" s="882"/>
      <c r="AC40" s="878"/>
      <c r="AD40" s="879"/>
      <c r="AE40" s="558"/>
    </row>
    <row r="41" spans="1:32" s="1118" customFormat="1">
      <c r="A41" s="1189" t="str">
        <f>+$C$201&amp;". "&amp;$F$201</f>
        <v>9. ÖNK egyéb kiadásainak, bevételeinek felülvizsgálata</v>
      </c>
      <c r="B41" s="1190"/>
      <c r="C41" s="1190"/>
      <c r="D41" s="1190"/>
      <c r="E41" s="1190"/>
      <c r="F41" s="1191"/>
      <c r="G41" s="1111">
        <f>+H41+M41+N41+R41</f>
        <v>0</v>
      </c>
      <c r="H41" s="1112">
        <f t="shared" si="0"/>
        <v>0</v>
      </c>
      <c r="I41" s="931"/>
      <c r="J41" s="932"/>
      <c r="K41" s="932"/>
      <c r="L41" s="1113"/>
      <c r="M41" s="1111"/>
      <c r="N41" s="1112">
        <f t="shared" si="3"/>
        <v>0</v>
      </c>
      <c r="O41" s="931"/>
      <c r="P41" s="932"/>
      <c r="Q41" s="933"/>
      <c r="R41" s="1111"/>
      <c r="S41" s="1111">
        <f>+T41+Z41+AA41+AE41</f>
        <v>1800</v>
      </c>
      <c r="T41" s="1112">
        <f t="shared" si="5"/>
        <v>1800</v>
      </c>
      <c r="U41" s="931"/>
      <c r="V41" s="1114"/>
      <c r="W41" s="1114">
        <v>1800</v>
      </c>
      <c r="X41" s="1114"/>
      <c r="Y41" s="1115"/>
      <c r="Z41" s="1111"/>
      <c r="AA41" s="1112">
        <f>+AB41+AC41+AD41</f>
        <v>0</v>
      </c>
      <c r="AB41" s="1116"/>
      <c r="AC41" s="1114"/>
      <c r="AD41" s="1115"/>
      <c r="AE41" s="1111"/>
      <c r="AF41" s="1117">
        <f t="shared" ref="AF41" si="26">-G41+S41</f>
        <v>1800</v>
      </c>
    </row>
    <row r="42" spans="1:32" s="564" customFormat="1">
      <c r="A42" s="618">
        <f>+A40+1</f>
        <v>23</v>
      </c>
      <c r="B42" s="946">
        <v>8</v>
      </c>
      <c r="C42" s="396" t="s">
        <v>697</v>
      </c>
      <c r="D42" s="1062" t="s">
        <v>643</v>
      </c>
      <c r="E42" s="1320" t="s">
        <v>1225</v>
      </c>
      <c r="F42" s="1065" t="s">
        <v>643</v>
      </c>
      <c r="G42" s="558">
        <f t="shared" si="2"/>
        <v>0</v>
      </c>
      <c r="H42" s="559">
        <f t="shared" si="0"/>
        <v>0</v>
      </c>
      <c r="I42" s="875"/>
      <c r="J42" s="876"/>
      <c r="K42" s="876"/>
      <c r="L42" s="1060"/>
      <c r="M42" s="558"/>
      <c r="N42" s="559">
        <f t="shared" si="3"/>
        <v>0</v>
      </c>
      <c r="O42" s="875"/>
      <c r="P42" s="876"/>
      <c r="Q42" s="877"/>
      <c r="R42" s="558"/>
      <c r="S42" s="558">
        <f t="shared" si="4"/>
        <v>0</v>
      </c>
      <c r="T42" s="559">
        <f t="shared" si="5"/>
        <v>0</v>
      </c>
      <c r="U42" s="875"/>
      <c r="V42" s="878"/>
      <c r="W42" s="878"/>
      <c r="X42" s="878"/>
      <c r="Y42" s="879"/>
      <c r="Z42" s="558"/>
      <c r="AA42" s="559">
        <f t="shared" si="1"/>
        <v>0</v>
      </c>
      <c r="AB42" s="882"/>
      <c r="AC42" s="878"/>
      <c r="AD42" s="879"/>
      <c r="AE42" s="558"/>
    </row>
    <row r="43" spans="1:32" s="1118" customFormat="1">
      <c r="A43" s="1189" t="str">
        <f>+$C$198&amp;". "&amp;$F$198</f>
        <v>6. Önkormányzati felújítások felülvizsgálata - Felszíni csapadékvíz elvezetés (Újtelepi településrész)</v>
      </c>
      <c r="B43" s="1190"/>
      <c r="C43" s="1190"/>
      <c r="D43" s="1190"/>
      <c r="E43" s="1190"/>
      <c r="F43" s="1191"/>
      <c r="G43" s="1111">
        <f>+H43+M43+N43+R43</f>
        <v>0</v>
      </c>
      <c r="H43" s="1112">
        <f>+I43+J43+K43+L43</f>
        <v>0</v>
      </c>
      <c r="I43" s="931"/>
      <c r="J43" s="932"/>
      <c r="K43" s="932"/>
      <c r="L43" s="1113"/>
      <c r="M43" s="1111"/>
      <c r="N43" s="1112">
        <f>+O43+P43+Q43</f>
        <v>0</v>
      </c>
      <c r="O43" s="931"/>
      <c r="P43" s="932"/>
      <c r="Q43" s="933"/>
      <c r="R43" s="1111"/>
      <c r="S43" s="1111">
        <f>+T43+Z43+AA43+AE43</f>
        <v>-4000</v>
      </c>
      <c r="T43" s="1112">
        <f>+U43+V43+W43+X43+Y43</f>
        <v>0</v>
      </c>
      <c r="U43" s="931"/>
      <c r="V43" s="1114"/>
      <c r="W43" s="1114"/>
      <c r="X43" s="1114"/>
      <c r="Y43" s="1115"/>
      <c r="Z43" s="1111"/>
      <c r="AA43" s="1112">
        <f>+AB43+AC43+AD43</f>
        <v>-4000</v>
      </c>
      <c r="AB43" s="1116"/>
      <c r="AC43" s="1114">
        <f>$H$198</f>
        <v>-4000</v>
      </c>
      <c r="AD43" s="1115"/>
      <c r="AE43" s="1111"/>
      <c r="AF43" s="1117">
        <f>-G43+S43</f>
        <v>-4000</v>
      </c>
    </row>
    <row r="44" spans="1:32" s="1118" customFormat="1">
      <c r="A44" s="1189" t="str">
        <f>+$C$201&amp;". "&amp;$F$201</f>
        <v>9. ÖNK egyéb kiadásainak, bevételeinek felülvizsgálata</v>
      </c>
      <c r="B44" s="1190"/>
      <c r="C44" s="1190"/>
      <c r="D44" s="1190"/>
      <c r="E44" s="1190"/>
      <c r="F44" s="1191"/>
      <c r="G44" s="1111">
        <f>+H44+M44+N44+R44</f>
        <v>0</v>
      </c>
      <c r="H44" s="1112">
        <f t="shared" ref="H44" si="27">+I44+J44+K44+L44</f>
        <v>0</v>
      </c>
      <c r="I44" s="931"/>
      <c r="J44" s="932"/>
      <c r="K44" s="932"/>
      <c r="L44" s="1113"/>
      <c r="M44" s="1111"/>
      <c r="N44" s="1112">
        <f t="shared" ref="N44" si="28">+O44+P44+Q44</f>
        <v>0</v>
      </c>
      <c r="O44" s="931"/>
      <c r="P44" s="932"/>
      <c r="Q44" s="933"/>
      <c r="R44" s="1111"/>
      <c r="S44" s="1111">
        <f>+T44+Z44+AA44+AE44</f>
        <v>-2800</v>
      </c>
      <c r="T44" s="1112">
        <f t="shared" ref="T44" si="29">+U44+V44+W44+X44+Y44</f>
        <v>-2800</v>
      </c>
      <c r="U44" s="931"/>
      <c r="V44" s="1114"/>
      <c r="W44" s="1114">
        <f>-1000-300-1000-500</f>
        <v>-2800</v>
      </c>
      <c r="X44" s="1114"/>
      <c r="Y44" s="1115"/>
      <c r="Z44" s="1111"/>
      <c r="AA44" s="1112">
        <f>+AB44+AC44+AD44</f>
        <v>0</v>
      </c>
      <c r="AB44" s="1116"/>
      <c r="AC44" s="1114"/>
      <c r="AD44" s="1115"/>
      <c r="AE44" s="1111"/>
      <c r="AF44" s="1117">
        <f t="shared" ref="AF44" si="30">-G44+S44</f>
        <v>-2800</v>
      </c>
    </row>
    <row r="45" spans="1:32" s="564" customFormat="1">
      <c r="A45" s="618">
        <f>+A42+1</f>
        <v>24</v>
      </c>
      <c r="B45" s="946">
        <v>8</v>
      </c>
      <c r="C45" s="396" t="s">
        <v>718</v>
      </c>
      <c r="D45" s="1062" t="s">
        <v>648</v>
      </c>
      <c r="E45" s="1320" t="s">
        <v>1225</v>
      </c>
      <c r="F45" s="1065" t="s">
        <v>648</v>
      </c>
      <c r="G45" s="558">
        <f t="shared" si="2"/>
        <v>0</v>
      </c>
      <c r="H45" s="559">
        <f t="shared" si="0"/>
        <v>0</v>
      </c>
      <c r="I45" s="875"/>
      <c r="J45" s="876"/>
      <c r="K45" s="876"/>
      <c r="L45" s="1060"/>
      <c r="M45" s="558"/>
      <c r="N45" s="559">
        <f t="shared" si="3"/>
        <v>0</v>
      </c>
      <c r="O45" s="875"/>
      <c r="P45" s="876"/>
      <c r="Q45" s="877"/>
      <c r="R45" s="558"/>
      <c r="S45" s="562">
        <f t="shared" si="4"/>
        <v>0</v>
      </c>
      <c r="T45" s="563">
        <f t="shared" si="5"/>
        <v>0</v>
      </c>
      <c r="U45" s="875"/>
      <c r="V45" s="880"/>
      <c r="W45" s="880"/>
      <c r="X45" s="880"/>
      <c r="Y45" s="881"/>
      <c r="Z45" s="558"/>
      <c r="AA45" s="563">
        <f t="shared" si="1"/>
        <v>0</v>
      </c>
      <c r="AB45" s="883"/>
      <c r="AC45" s="880"/>
      <c r="AD45" s="881"/>
      <c r="AE45" s="558"/>
    </row>
    <row r="46" spans="1:32" s="564" customFormat="1">
      <c r="A46" s="618">
        <f t="shared" si="16"/>
        <v>25</v>
      </c>
      <c r="B46" s="946">
        <v>8</v>
      </c>
      <c r="C46" s="396" t="s">
        <v>692</v>
      </c>
      <c r="D46" s="1062" t="s">
        <v>693</v>
      </c>
      <c r="E46" s="1320" t="s">
        <v>1225</v>
      </c>
      <c r="F46" s="1065" t="s">
        <v>1007</v>
      </c>
      <c r="G46" s="558">
        <f t="shared" si="2"/>
        <v>0</v>
      </c>
      <c r="H46" s="559">
        <f t="shared" si="0"/>
        <v>0</v>
      </c>
      <c r="I46" s="875"/>
      <c r="J46" s="876"/>
      <c r="K46" s="876"/>
      <c r="L46" s="1060"/>
      <c r="M46" s="558"/>
      <c r="N46" s="559">
        <f t="shared" si="3"/>
        <v>0</v>
      </c>
      <c r="O46" s="875"/>
      <c r="P46" s="876"/>
      <c r="Q46" s="877"/>
      <c r="R46" s="558"/>
      <c r="S46" s="558">
        <f t="shared" si="4"/>
        <v>0</v>
      </c>
      <c r="T46" s="559">
        <f t="shared" si="5"/>
        <v>0</v>
      </c>
      <c r="U46" s="882"/>
      <c r="V46" s="878"/>
      <c r="W46" s="878"/>
      <c r="X46" s="878"/>
      <c r="Y46" s="879"/>
      <c r="Z46" s="558"/>
      <c r="AA46" s="559">
        <f t="shared" si="1"/>
        <v>0</v>
      </c>
      <c r="AB46" s="882"/>
      <c r="AC46" s="878"/>
      <c r="AD46" s="879"/>
      <c r="AE46" s="558"/>
    </row>
    <row r="47" spans="1:32" s="564" customFormat="1">
      <c r="A47" s="618">
        <f>+A46+1</f>
        <v>26</v>
      </c>
      <c r="B47" s="946">
        <v>3</v>
      </c>
      <c r="C47" s="396" t="s">
        <v>690</v>
      </c>
      <c r="D47" s="1062" t="s">
        <v>691</v>
      </c>
      <c r="E47" s="1320" t="s">
        <v>1225</v>
      </c>
      <c r="F47" s="1065" t="s">
        <v>641</v>
      </c>
      <c r="G47" s="558">
        <f t="shared" si="2"/>
        <v>0</v>
      </c>
      <c r="H47" s="559">
        <f t="shared" si="0"/>
        <v>0</v>
      </c>
      <c r="I47" s="875"/>
      <c r="J47" s="876"/>
      <c r="K47" s="876"/>
      <c r="L47" s="1060"/>
      <c r="M47" s="558"/>
      <c r="N47" s="559">
        <f t="shared" si="3"/>
        <v>0</v>
      </c>
      <c r="O47" s="875"/>
      <c r="P47" s="876"/>
      <c r="Q47" s="877"/>
      <c r="R47" s="558"/>
      <c r="S47" s="562">
        <f t="shared" si="4"/>
        <v>0</v>
      </c>
      <c r="T47" s="563">
        <f t="shared" si="5"/>
        <v>0</v>
      </c>
      <c r="U47" s="875"/>
      <c r="V47" s="880"/>
      <c r="W47" s="880"/>
      <c r="X47" s="880"/>
      <c r="Y47" s="881"/>
      <c r="Z47" s="558"/>
      <c r="AA47" s="563">
        <f t="shared" si="1"/>
        <v>0</v>
      </c>
      <c r="AB47" s="883"/>
      <c r="AC47" s="880"/>
      <c r="AD47" s="881"/>
      <c r="AE47" s="558"/>
    </row>
    <row r="48" spans="1:32" s="564" customFormat="1">
      <c r="A48" s="618">
        <f t="shared" si="16"/>
        <v>27</v>
      </c>
      <c r="B48" s="946">
        <v>4</v>
      </c>
      <c r="C48" s="396" t="s">
        <v>698</v>
      </c>
      <c r="D48" s="1062" t="s">
        <v>644</v>
      </c>
      <c r="E48" s="1320" t="s">
        <v>1225</v>
      </c>
      <c r="F48" s="1065" t="s">
        <v>644</v>
      </c>
      <c r="G48" s="558">
        <f t="shared" si="2"/>
        <v>0</v>
      </c>
      <c r="H48" s="559">
        <f t="shared" si="0"/>
        <v>0</v>
      </c>
      <c r="I48" s="875"/>
      <c r="J48" s="876"/>
      <c r="K48" s="876"/>
      <c r="L48" s="1060"/>
      <c r="M48" s="558"/>
      <c r="N48" s="559">
        <f t="shared" si="3"/>
        <v>0</v>
      </c>
      <c r="O48" s="875"/>
      <c r="P48" s="876"/>
      <c r="Q48" s="877"/>
      <c r="R48" s="558"/>
      <c r="S48" s="558">
        <f t="shared" si="4"/>
        <v>0</v>
      </c>
      <c r="T48" s="559">
        <f t="shared" si="5"/>
        <v>0</v>
      </c>
      <c r="U48" s="875"/>
      <c r="V48" s="878"/>
      <c r="W48" s="878"/>
      <c r="X48" s="878"/>
      <c r="Y48" s="879"/>
      <c r="Z48" s="558"/>
      <c r="AA48" s="559">
        <f t="shared" si="1"/>
        <v>0</v>
      </c>
      <c r="AB48" s="882"/>
      <c r="AC48" s="878"/>
      <c r="AD48" s="879"/>
      <c r="AE48" s="558"/>
    </row>
    <row r="49" spans="1:32" s="1118" customFormat="1">
      <c r="A49" s="1189" t="str">
        <f>+$C$197&amp;". "&amp;$F$197</f>
        <v>5. Önkormányzati beruházások felülvizsgálata - Közvilágítás bővítése</v>
      </c>
      <c r="B49" s="1190"/>
      <c r="C49" s="1190"/>
      <c r="D49" s="1190"/>
      <c r="E49" s="1190"/>
      <c r="F49" s="1191"/>
      <c r="G49" s="1111">
        <f>+H49+M49+N49+R49</f>
        <v>0</v>
      </c>
      <c r="H49" s="1112">
        <f>+I49+J49+K49+L49</f>
        <v>0</v>
      </c>
      <c r="I49" s="931"/>
      <c r="J49" s="932"/>
      <c r="K49" s="932"/>
      <c r="L49" s="1113"/>
      <c r="M49" s="1111"/>
      <c r="N49" s="1112">
        <f>+O49+P49+Q49</f>
        <v>0</v>
      </c>
      <c r="O49" s="931"/>
      <c r="P49" s="932"/>
      <c r="Q49" s="933"/>
      <c r="R49" s="1111"/>
      <c r="S49" s="1111">
        <f>+T49+Z49+AA49+AE49</f>
        <v>-500</v>
      </c>
      <c r="T49" s="1112">
        <f>+U49+V49+W49+X49+Y49</f>
        <v>0</v>
      </c>
      <c r="U49" s="931"/>
      <c r="V49" s="1114"/>
      <c r="W49" s="1114"/>
      <c r="X49" s="1114"/>
      <c r="Y49" s="1115"/>
      <c r="Z49" s="1111"/>
      <c r="AA49" s="1112">
        <f>+AB49+AC49+AD49</f>
        <v>-500</v>
      </c>
      <c r="AB49" s="1116">
        <f>+$H$197</f>
        <v>-500</v>
      </c>
      <c r="AC49" s="1114"/>
      <c r="AD49" s="1115"/>
      <c r="AE49" s="1111"/>
      <c r="AF49" s="1117">
        <f>-G49+S49</f>
        <v>-500</v>
      </c>
    </row>
    <row r="50" spans="1:32" s="564" customFormat="1">
      <c r="A50" s="618">
        <f>+A48+1</f>
        <v>28</v>
      </c>
      <c r="B50" s="946">
        <v>8</v>
      </c>
      <c r="C50" s="396" t="s">
        <v>707</v>
      </c>
      <c r="D50" s="1062" t="s">
        <v>646</v>
      </c>
      <c r="E50" s="1320" t="s">
        <v>1232</v>
      </c>
      <c r="F50" s="1065" t="s">
        <v>646</v>
      </c>
      <c r="G50" s="558">
        <f t="shared" si="2"/>
        <v>0</v>
      </c>
      <c r="H50" s="559">
        <f t="shared" si="0"/>
        <v>0</v>
      </c>
      <c r="I50" s="875"/>
      <c r="J50" s="876"/>
      <c r="K50" s="876"/>
      <c r="L50" s="1060"/>
      <c r="M50" s="558"/>
      <c r="N50" s="559">
        <f t="shared" si="3"/>
        <v>0</v>
      </c>
      <c r="O50" s="875"/>
      <c r="P50" s="876"/>
      <c r="Q50" s="877"/>
      <c r="R50" s="558"/>
      <c r="S50" s="558">
        <f t="shared" si="4"/>
        <v>0</v>
      </c>
      <c r="T50" s="559">
        <f t="shared" si="5"/>
        <v>0</v>
      </c>
      <c r="U50" s="875"/>
      <c r="V50" s="878"/>
      <c r="W50" s="878"/>
      <c r="X50" s="878"/>
      <c r="Y50" s="879"/>
      <c r="Z50" s="558"/>
      <c r="AA50" s="559">
        <f t="shared" si="1"/>
        <v>0</v>
      </c>
      <c r="AB50" s="882"/>
      <c r="AC50" s="878"/>
      <c r="AD50" s="879"/>
      <c r="AE50" s="558"/>
    </row>
    <row r="51" spans="1:32" s="564" customFormat="1">
      <c r="A51" s="618">
        <f>+A50+1</f>
        <v>29</v>
      </c>
      <c r="B51" s="945">
        <v>7</v>
      </c>
      <c r="C51" s="492" t="s">
        <v>699</v>
      </c>
      <c r="D51" s="1066" t="s">
        <v>645</v>
      </c>
      <c r="E51" s="1320" t="s">
        <v>1225</v>
      </c>
      <c r="F51" s="1067" t="s">
        <v>645</v>
      </c>
      <c r="G51" s="558">
        <f t="shared" si="2"/>
        <v>0</v>
      </c>
      <c r="H51" s="559">
        <f t="shared" si="0"/>
        <v>0</v>
      </c>
      <c r="I51" s="875"/>
      <c r="J51" s="876"/>
      <c r="K51" s="876"/>
      <c r="L51" s="1060"/>
      <c r="M51" s="558"/>
      <c r="N51" s="559">
        <f t="shared" si="3"/>
        <v>0</v>
      </c>
      <c r="O51" s="875"/>
      <c r="P51" s="876"/>
      <c r="Q51" s="877"/>
      <c r="R51" s="558"/>
      <c r="S51" s="558">
        <f t="shared" si="4"/>
        <v>0</v>
      </c>
      <c r="T51" s="559">
        <f t="shared" si="5"/>
        <v>0</v>
      </c>
      <c r="U51" s="875"/>
      <c r="V51" s="878"/>
      <c r="W51" s="878"/>
      <c r="X51" s="878"/>
      <c r="Y51" s="879"/>
      <c r="Z51" s="558"/>
      <c r="AA51" s="559">
        <f t="shared" si="1"/>
        <v>0</v>
      </c>
      <c r="AB51" s="882"/>
      <c r="AC51" s="878"/>
      <c r="AD51" s="879"/>
      <c r="AE51" s="558"/>
    </row>
    <row r="52" spans="1:32" s="1118" customFormat="1">
      <c r="A52" s="1189" t="str">
        <f>+$C$193&amp;". "&amp;$F$193</f>
        <v>1. Ingatlanértékesítés</v>
      </c>
      <c r="B52" s="1190"/>
      <c r="C52" s="1190"/>
      <c r="D52" s="1190"/>
      <c r="E52" s="1190"/>
      <c r="F52" s="1191"/>
      <c r="G52" s="1111">
        <f t="shared" si="2"/>
        <v>10000</v>
      </c>
      <c r="H52" s="1112">
        <f t="shared" si="0"/>
        <v>0</v>
      </c>
      <c r="I52" s="931"/>
      <c r="J52" s="932"/>
      <c r="K52" s="932"/>
      <c r="L52" s="1113"/>
      <c r="M52" s="1111"/>
      <c r="N52" s="1112">
        <f t="shared" si="3"/>
        <v>10000</v>
      </c>
      <c r="O52" s="931"/>
      <c r="P52" s="932">
        <f>+-$H$193</f>
        <v>10000</v>
      </c>
      <c r="Q52" s="933"/>
      <c r="R52" s="1111"/>
      <c r="S52" s="1111">
        <f t="shared" si="4"/>
        <v>0</v>
      </c>
      <c r="T52" s="1112">
        <f t="shared" si="5"/>
        <v>0</v>
      </c>
      <c r="U52" s="931"/>
      <c r="V52" s="1114"/>
      <c r="W52" s="1114"/>
      <c r="X52" s="1114"/>
      <c r="Y52" s="1115"/>
      <c r="Z52" s="1111"/>
      <c r="AA52" s="1112">
        <f t="shared" si="1"/>
        <v>0</v>
      </c>
      <c r="AB52" s="1116"/>
      <c r="AC52" s="1114"/>
      <c r="AD52" s="1115"/>
      <c r="AE52" s="1111"/>
      <c r="AF52" s="1117">
        <f t="shared" ref="AF52:AF53" si="31">-G52+S52</f>
        <v>-10000</v>
      </c>
    </row>
    <row r="53" spans="1:32" s="1118" customFormat="1">
      <c r="A53" s="1189" t="str">
        <f>+$C$201&amp;". "&amp;$F$201</f>
        <v>9. ÖNK egyéb kiadásainak, bevételeinek felülvizsgálata</v>
      </c>
      <c r="B53" s="1190"/>
      <c r="C53" s="1190"/>
      <c r="D53" s="1190"/>
      <c r="E53" s="1190"/>
      <c r="F53" s="1191"/>
      <c r="G53" s="1111">
        <f>+H53+M53+N53+R53</f>
        <v>2299</v>
      </c>
      <c r="H53" s="1112">
        <f t="shared" si="0"/>
        <v>0</v>
      </c>
      <c r="I53" s="931"/>
      <c r="J53" s="932"/>
      <c r="K53" s="932"/>
      <c r="L53" s="1113"/>
      <c r="M53" s="1111"/>
      <c r="N53" s="1112">
        <f t="shared" si="3"/>
        <v>2299</v>
      </c>
      <c r="O53" s="931">
        <v>2299</v>
      </c>
      <c r="P53" s="932"/>
      <c r="Q53" s="933"/>
      <c r="R53" s="1111"/>
      <c r="S53" s="1111">
        <f>+T53+Z53+AA53+AE53</f>
        <v>-2000</v>
      </c>
      <c r="T53" s="1112">
        <f t="shared" si="5"/>
        <v>-2000</v>
      </c>
      <c r="U53" s="931"/>
      <c r="V53" s="1114"/>
      <c r="W53" s="1114">
        <v>-2000</v>
      </c>
      <c r="X53" s="1114"/>
      <c r="Y53" s="1115"/>
      <c r="Z53" s="1111"/>
      <c r="AA53" s="1112">
        <f>+AB53+AC53+AD53</f>
        <v>0</v>
      </c>
      <c r="AB53" s="1116"/>
      <c r="AC53" s="1114"/>
      <c r="AD53" s="1115"/>
      <c r="AE53" s="1111"/>
      <c r="AF53" s="1117">
        <f t="shared" si="31"/>
        <v>-4299</v>
      </c>
    </row>
    <row r="54" spans="1:32" s="564" customFormat="1" ht="24">
      <c r="A54" s="618">
        <f>+A51+1</f>
        <v>30</v>
      </c>
      <c r="B54" s="945">
        <v>7</v>
      </c>
      <c r="C54" s="492" t="s">
        <v>696</v>
      </c>
      <c r="D54" s="1066" t="s">
        <v>1258</v>
      </c>
      <c r="E54" s="1320" t="s">
        <v>1247</v>
      </c>
      <c r="F54" s="1067" t="s">
        <v>1249</v>
      </c>
      <c r="G54" s="558">
        <f t="shared" si="2"/>
        <v>0</v>
      </c>
      <c r="H54" s="559">
        <f t="shared" si="0"/>
        <v>0</v>
      </c>
      <c r="I54" s="875"/>
      <c r="J54" s="876"/>
      <c r="K54" s="876"/>
      <c r="L54" s="1060"/>
      <c r="M54" s="558"/>
      <c r="N54" s="559">
        <f t="shared" si="3"/>
        <v>0</v>
      </c>
      <c r="O54" s="875"/>
      <c r="P54" s="876"/>
      <c r="Q54" s="877"/>
      <c r="R54" s="558"/>
      <c r="S54" s="558">
        <f t="shared" si="4"/>
        <v>0</v>
      </c>
      <c r="T54" s="559">
        <f t="shared" si="5"/>
        <v>0</v>
      </c>
      <c r="U54" s="875"/>
      <c r="V54" s="878"/>
      <c r="W54" s="878"/>
      <c r="X54" s="878"/>
      <c r="Y54" s="879"/>
      <c r="Z54" s="558"/>
      <c r="AA54" s="559">
        <f t="shared" si="1"/>
        <v>0</v>
      </c>
      <c r="AB54" s="882"/>
      <c r="AC54" s="878"/>
      <c r="AD54" s="879"/>
      <c r="AE54" s="558"/>
    </row>
    <row r="55" spans="1:32" s="564" customFormat="1" ht="24">
      <c r="A55" s="618">
        <f t="shared" si="16"/>
        <v>31</v>
      </c>
      <c r="B55" s="945">
        <v>8</v>
      </c>
      <c r="C55" s="492" t="s">
        <v>696</v>
      </c>
      <c r="D55" s="1066" t="s">
        <v>1258</v>
      </c>
      <c r="E55" s="1320" t="s">
        <v>1247</v>
      </c>
      <c r="F55" s="1067" t="s">
        <v>1250</v>
      </c>
      <c r="G55" s="558">
        <f t="shared" si="2"/>
        <v>0</v>
      </c>
      <c r="H55" s="559">
        <f t="shared" si="0"/>
        <v>0</v>
      </c>
      <c r="I55" s="875"/>
      <c r="J55" s="876"/>
      <c r="K55" s="876"/>
      <c r="L55" s="1060"/>
      <c r="M55" s="558"/>
      <c r="N55" s="559">
        <f t="shared" si="3"/>
        <v>0</v>
      </c>
      <c r="O55" s="875"/>
      <c r="P55" s="876"/>
      <c r="Q55" s="877"/>
      <c r="R55" s="558"/>
      <c r="S55" s="558">
        <f t="shared" si="4"/>
        <v>0</v>
      </c>
      <c r="T55" s="559">
        <f t="shared" si="5"/>
        <v>0</v>
      </c>
      <c r="U55" s="875"/>
      <c r="V55" s="878"/>
      <c r="W55" s="878"/>
      <c r="X55" s="878"/>
      <c r="Y55" s="879"/>
      <c r="Z55" s="558"/>
      <c r="AA55" s="559">
        <f t="shared" si="1"/>
        <v>0</v>
      </c>
      <c r="AB55" s="882"/>
      <c r="AC55" s="878"/>
      <c r="AD55" s="879"/>
      <c r="AE55" s="558"/>
    </row>
    <row r="56" spans="1:32" s="564" customFormat="1" ht="24">
      <c r="A56" s="618">
        <f t="shared" si="16"/>
        <v>32</v>
      </c>
      <c r="B56" s="945">
        <v>8</v>
      </c>
      <c r="C56" s="492" t="s">
        <v>696</v>
      </c>
      <c r="D56" s="1066" t="s">
        <v>1258</v>
      </c>
      <c r="E56" s="1320" t="s">
        <v>1247</v>
      </c>
      <c r="F56" s="1067" t="s">
        <v>1251</v>
      </c>
      <c r="G56" s="558">
        <f t="shared" si="2"/>
        <v>0</v>
      </c>
      <c r="H56" s="559">
        <f t="shared" si="0"/>
        <v>0</v>
      </c>
      <c r="I56" s="875"/>
      <c r="J56" s="876"/>
      <c r="K56" s="876"/>
      <c r="L56" s="1060"/>
      <c r="M56" s="558"/>
      <c r="N56" s="559">
        <f t="shared" si="3"/>
        <v>0</v>
      </c>
      <c r="O56" s="875"/>
      <c r="P56" s="876"/>
      <c r="Q56" s="877"/>
      <c r="R56" s="558"/>
      <c r="S56" s="558">
        <f t="shared" si="4"/>
        <v>0</v>
      </c>
      <c r="T56" s="559">
        <f t="shared" si="5"/>
        <v>0</v>
      </c>
      <c r="U56" s="875"/>
      <c r="V56" s="878"/>
      <c r="W56" s="878"/>
      <c r="X56" s="878"/>
      <c r="Y56" s="879"/>
      <c r="Z56" s="558"/>
      <c r="AA56" s="559">
        <f t="shared" si="1"/>
        <v>0</v>
      </c>
      <c r="AB56" s="882"/>
      <c r="AC56" s="878"/>
      <c r="AD56" s="879"/>
      <c r="AE56" s="558"/>
    </row>
    <row r="57" spans="1:32" s="564" customFormat="1" ht="24">
      <c r="A57" s="618">
        <f t="shared" si="16"/>
        <v>33</v>
      </c>
      <c r="B57" s="945">
        <v>8</v>
      </c>
      <c r="C57" s="492" t="s">
        <v>1254</v>
      </c>
      <c r="D57" s="1066" t="s">
        <v>1252</v>
      </c>
      <c r="E57" s="1320" t="s">
        <v>1225</v>
      </c>
      <c r="F57" s="1067" t="s">
        <v>1253</v>
      </c>
      <c r="G57" s="558">
        <f t="shared" si="2"/>
        <v>0</v>
      </c>
      <c r="H57" s="559">
        <f t="shared" si="0"/>
        <v>0</v>
      </c>
      <c r="I57" s="875"/>
      <c r="J57" s="876"/>
      <c r="K57" s="876"/>
      <c r="L57" s="1060"/>
      <c r="M57" s="558"/>
      <c r="N57" s="559">
        <f t="shared" si="3"/>
        <v>0</v>
      </c>
      <c r="O57" s="875"/>
      <c r="P57" s="876"/>
      <c r="Q57" s="877"/>
      <c r="R57" s="558"/>
      <c r="S57" s="558">
        <f t="shared" si="4"/>
        <v>0</v>
      </c>
      <c r="T57" s="559">
        <f t="shared" si="5"/>
        <v>0</v>
      </c>
      <c r="U57" s="875"/>
      <c r="V57" s="878"/>
      <c r="W57" s="878"/>
      <c r="X57" s="878"/>
      <c r="Y57" s="879"/>
      <c r="Z57" s="558"/>
      <c r="AA57" s="559">
        <f t="shared" si="1"/>
        <v>0</v>
      </c>
      <c r="AB57" s="882"/>
      <c r="AC57" s="878"/>
      <c r="AD57" s="879"/>
      <c r="AE57" s="558"/>
    </row>
    <row r="58" spans="1:32" s="564" customFormat="1" ht="24">
      <c r="A58" s="618">
        <f>+A57+1</f>
        <v>34</v>
      </c>
      <c r="B58" s="945">
        <v>8</v>
      </c>
      <c r="C58" s="492" t="s">
        <v>1076</v>
      </c>
      <c r="D58" s="1066" t="s">
        <v>1257</v>
      </c>
      <c r="E58" s="1320" t="s">
        <v>1225</v>
      </c>
      <c r="F58" s="1067" t="s">
        <v>1256</v>
      </c>
      <c r="G58" s="558">
        <f t="shared" si="2"/>
        <v>0</v>
      </c>
      <c r="H58" s="559">
        <f>+I58+J58+K58+L58</f>
        <v>0</v>
      </c>
      <c r="I58" s="875"/>
      <c r="J58" s="876"/>
      <c r="K58" s="876"/>
      <c r="L58" s="1060"/>
      <c r="M58" s="558"/>
      <c r="N58" s="559">
        <f>+O58+P58+Q58</f>
        <v>0</v>
      </c>
      <c r="O58" s="875"/>
      <c r="P58" s="876"/>
      <c r="Q58" s="877"/>
      <c r="R58" s="558"/>
      <c r="S58" s="558">
        <f t="shared" si="4"/>
        <v>0</v>
      </c>
      <c r="T58" s="559">
        <f>+U58+V58+W58+X58+Y58</f>
        <v>0</v>
      </c>
      <c r="U58" s="875"/>
      <c r="V58" s="878"/>
      <c r="W58" s="878"/>
      <c r="X58" s="878"/>
      <c r="Y58" s="879"/>
      <c r="Z58" s="558"/>
      <c r="AA58" s="559">
        <f t="shared" si="1"/>
        <v>0</v>
      </c>
      <c r="AB58" s="882"/>
      <c r="AC58" s="878"/>
      <c r="AD58" s="879"/>
      <c r="AE58" s="558"/>
    </row>
    <row r="59" spans="1:32" s="564" customFormat="1" ht="24">
      <c r="A59" s="618">
        <f t="shared" si="16"/>
        <v>35</v>
      </c>
      <c r="B59" s="945">
        <v>8</v>
      </c>
      <c r="C59" s="492" t="s">
        <v>1259</v>
      </c>
      <c r="D59" s="1066" t="s">
        <v>1260</v>
      </c>
      <c r="E59" s="1320" t="s">
        <v>1225</v>
      </c>
      <c r="F59" s="1067" t="s">
        <v>1261</v>
      </c>
      <c r="G59" s="558">
        <f t="shared" si="2"/>
        <v>0</v>
      </c>
      <c r="H59" s="559">
        <f>+I59+J59+K59+L59</f>
        <v>0</v>
      </c>
      <c r="I59" s="875"/>
      <c r="J59" s="876"/>
      <c r="K59" s="876"/>
      <c r="L59" s="1060"/>
      <c r="M59" s="558"/>
      <c r="N59" s="559">
        <f>+O59+P59+Q59</f>
        <v>0</v>
      </c>
      <c r="O59" s="875"/>
      <c r="P59" s="876"/>
      <c r="Q59" s="877"/>
      <c r="R59" s="558"/>
      <c r="S59" s="558">
        <f t="shared" si="4"/>
        <v>0</v>
      </c>
      <c r="T59" s="559">
        <f t="shared" si="5"/>
        <v>0</v>
      </c>
      <c r="U59" s="875"/>
      <c r="V59" s="878"/>
      <c r="W59" s="878"/>
      <c r="X59" s="878"/>
      <c r="Y59" s="879"/>
      <c r="Z59" s="558"/>
      <c r="AA59" s="559">
        <f t="shared" si="1"/>
        <v>0</v>
      </c>
      <c r="AB59" s="882"/>
      <c r="AC59" s="878"/>
      <c r="AD59" s="879"/>
      <c r="AE59" s="558"/>
    </row>
    <row r="60" spans="1:32" s="564" customFormat="1" ht="24">
      <c r="A60" s="618">
        <f t="shared" si="16"/>
        <v>36</v>
      </c>
      <c r="B60" s="945">
        <v>8</v>
      </c>
      <c r="C60" s="492" t="s">
        <v>704</v>
      </c>
      <c r="D60" s="1066" t="s">
        <v>1263</v>
      </c>
      <c r="E60" s="1320" t="s">
        <v>1228</v>
      </c>
      <c r="F60" s="1067" t="s">
        <v>1262</v>
      </c>
      <c r="G60" s="558">
        <f t="shared" si="2"/>
        <v>0</v>
      </c>
      <c r="H60" s="559">
        <f>+I60+J60+K60+L60</f>
        <v>0</v>
      </c>
      <c r="I60" s="875"/>
      <c r="J60" s="876"/>
      <c r="K60" s="876"/>
      <c r="L60" s="1060"/>
      <c r="M60" s="558"/>
      <c r="N60" s="559">
        <f>+O60+P60+Q60</f>
        <v>0</v>
      </c>
      <c r="O60" s="875"/>
      <c r="P60" s="876"/>
      <c r="Q60" s="877"/>
      <c r="R60" s="558"/>
      <c r="S60" s="558">
        <f t="shared" si="4"/>
        <v>0</v>
      </c>
      <c r="T60" s="559">
        <f>+U60+V60+W60+X60+Y60</f>
        <v>0</v>
      </c>
      <c r="U60" s="875"/>
      <c r="V60" s="878"/>
      <c r="W60" s="878"/>
      <c r="X60" s="878"/>
      <c r="Y60" s="879"/>
      <c r="Z60" s="558"/>
      <c r="AA60" s="559">
        <f t="shared" si="1"/>
        <v>0</v>
      </c>
      <c r="AB60" s="882"/>
      <c r="AC60" s="878"/>
      <c r="AD60" s="879"/>
      <c r="AE60" s="558"/>
    </row>
    <row r="61" spans="1:32" s="564" customFormat="1">
      <c r="A61" s="618">
        <f t="shared" si="16"/>
        <v>37</v>
      </c>
      <c r="B61" s="946">
        <v>8</v>
      </c>
      <c r="C61" s="396" t="s">
        <v>1264</v>
      </c>
      <c r="D61" s="1062" t="s">
        <v>1266</v>
      </c>
      <c r="E61" s="1320" t="s">
        <v>1225</v>
      </c>
      <c r="F61" s="1065" t="s">
        <v>1265</v>
      </c>
      <c r="G61" s="558">
        <f t="shared" si="2"/>
        <v>0</v>
      </c>
      <c r="H61" s="559">
        <f t="shared" si="0"/>
        <v>0</v>
      </c>
      <c r="I61" s="875"/>
      <c r="J61" s="876"/>
      <c r="K61" s="876"/>
      <c r="L61" s="1060"/>
      <c r="M61" s="558"/>
      <c r="N61" s="559">
        <f t="shared" si="3"/>
        <v>0</v>
      </c>
      <c r="O61" s="875"/>
      <c r="P61" s="876"/>
      <c r="Q61" s="877"/>
      <c r="R61" s="558"/>
      <c r="S61" s="558">
        <f t="shared" si="4"/>
        <v>0</v>
      </c>
      <c r="T61" s="559">
        <f t="shared" si="5"/>
        <v>0</v>
      </c>
      <c r="U61" s="875"/>
      <c r="V61" s="878"/>
      <c r="W61" s="878"/>
      <c r="X61" s="878"/>
      <c r="Y61" s="879"/>
      <c r="Z61" s="558"/>
      <c r="AA61" s="559">
        <f t="shared" si="1"/>
        <v>0</v>
      </c>
      <c r="AB61" s="882"/>
      <c r="AC61" s="878"/>
      <c r="AD61" s="879"/>
      <c r="AE61" s="558"/>
    </row>
    <row r="62" spans="1:32" s="564" customFormat="1">
      <c r="A62" s="618">
        <f>+A61+1</f>
        <v>38</v>
      </c>
      <c r="B62" s="946">
        <v>8</v>
      </c>
      <c r="C62" s="396" t="s">
        <v>704</v>
      </c>
      <c r="D62" s="1062" t="s">
        <v>1268</v>
      </c>
      <c r="E62" s="1320" t="s">
        <v>1228</v>
      </c>
      <c r="F62" s="1065" t="s">
        <v>1267</v>
      </c>
      <c r="G62" s="558">
        <f t="shared" si="2"/>
        <v>0</v>
      </c>
      <c r="H62" s="559">
        <f t="shared" si="0"/>
        <v>0</v>
      </c>
      <c r="I62" s="875"/>
      <c r="J62" s="876"/>
      <c r="K62" s="876"/>
      <c r="L62" s="1060"/>
      <c r="M62" s="558"/>
      <c r="N62" s="559">
        <f t="shared" si="3"/>
        <v>0</v>
      </c>
      <c r="O62" s="875"/>
      <c r="P62" s="876"/>
      <c r="Q62" s="877"/>
      <c r="R62" s="558"/>
      <c r="S62" s="558">
        <f t="shared" si="4"/>
        <v>0</v>
      </c>
      <c r="T62" s="559">
        <f>+U62+V62+W62+X62+Y62</f>
        <v>0</v>
      </c>
      <c r="U62" s="875"/>
      <c r="V62" s="878"/>
      <c r="W62" s="878"/>
      <c r="X62" s="878"/>
      <c r="Y62" s="879"/>
      <c r="Z62" s="558"/>
      <c r="AA62" s="559">
        <f t="shared" si="1"/>
        <v>0</v>
      </c>
      <c r="AB62" s="882"/>
      <c r="AC62" s="878"/>
      <c r="AD62" s="879"/>
      <c r="AE62" s="558"/>
    </row>
    <row r="63" spans="1:32" s="564" customFormat="1">
      <c r="A63" s="618">
        <f t="shared" si="16"/>
        <v>39</v>
      </c>
      <c r="B63" s="946">
        <v>8</v>
      </c>
      <c r="C63" s="396" t="s">
        <v>1023</v>
      </c>
      <c r="D63" s="1062" t="s">
        <v>1269</v>
      </c>
      <c r="E63" s="1320" t="s">
        <v>1245</v>
      </c>
      <c r="F63" s="1065" t="s">
        <v>1270</v>
      </c>
      <c r="G63" s="558">
        <f t="shared" si="2"/>
        <v>0</v>
      </c>
      <c r="H63" s="559">
        <f t="shared" si="0"/>
        <v>0</v>
      </c>
      <c r="I63" s="875"/>
      <c r="J63" s="876"/>
      <c r="K63" s="876"/>
      <c r="L63" s="1060"/>
      <c r="M63" s="558"/>
      <c r="N63" s="559">
        <f t="shared" si="3"/>
        <v>0</v>
      </c>
      <c r="O63" s="875"/>
      <c r="P63" s="876"/>
      <c r="Q63" s="877"/>
      <c r="R63" s="558"/>
      <c r="S63" s="558">
        <f t="shared" si="4"/>
        <v>0</v>
      </c>
      <c r="T63" s="559">
        <f t="shared" si="5"/>
        <v>0</v>
      </c>
      <c r="U63" s="875"/>
      <c r="V63" s="878"/>
      <c r="W63" s="878"/>
      <c r="X63" s="878"/>
      <c r="Y63" s="879"/>
      <c r="Z63" s="558"/>
      <c r="AA63" s="559">
        <f t="shared" si="1"/>
        <v>0</v>
      </c>
      <c r="AB63" s="882"/>
      <c r="AC63" s="878"/>
      <c r="AD63" s="879"/>
      <c r="AE63" s="558"/>
    </row>
    <row r="64" spans="1:32">
      <c r="A64" s="618">
        <f t="shared" si="16"/>
        <v>40</v>
      </c>
      <c r="B64" s="946">
        <v>6</v>
      </c>
      <c r="C64" s="396" t="s">
        <v>699</v>
      </c>
      <c r="D64" s="1062" t="s">
        <v>1172</v>
      </c>
      <c r="E64" s="1322" t="s">
        <v>1225</v>
      </c>
      <c r="F64" s="1065" t="s">
        <v>1173</v>
      </c>
      <c r="G64" s="558">
        <f t="shared" si="2"/>
        <v>0</v>
      </c>
      <c r="H64" s="559">
        <f t="shared" si="0"/>
        <v>0</v>
      </c>
      <c r="I64" s="875"/>
      <c r="J64" s="876"/>
      <c r="K64" s="876"/>
      <c r="L64" s="1060"/>
      <c r="M64" s="558"/>
      <c r="N64" s="559">
        <f t="shared" si="3"/>
        <v>0</v>
      </c>
      <c r="O64" s="875"/>
      <c r="P64" s="876"/>
      <c r="Q64" s="877"/>
      <c r="R64" s="558"/>
      <c r="S64" s="558">
        <f t="shared" si="4"/>
        <v>0</v>
      </c>
      <c r="T64" s="559">
        <f>+U64+V64+W64+X64+Y64</f>
        <v>0</v>
      </c>
      <c r="U64" s="875"/>
      <c r="V64" s="878"/>
      <c r="W64" s="878"/>
      <c r="X64" s="878"/>
      <c r="Y64" s="879"/>
      <c r="Z64" s="558"/>
      <c r="AA64" s="559">
        <f t="shared" si="1"/>
        <v>0</v>
      </c>
      <c r="AB64" s="882"/>
      <c r="AC64" s="878"/>
      <c r="AD64" s="879"/>
      <c r="AE64" s="558"/>
    </row>
    <row r="65" spans="1:32">
      <c r="A65" s="618">
        <f t="shared" si="16"/>
        <v>41</v>
      </c>
      <c r="B65" s="946">
        <v>6</v>
      </c>
      <c r="C65" s="396" t="s">
        <v>1008</v>
      </c>
      <c r="D65" s="1062" t="s">
        <v>1009</v>
      </c>
      <c r="E65" s="1320" t="s">
        <v>1225</v>
      </c>
      <c r="F65" s="1065" t="s">
        <v>1010</v>
      </c>
      <c r="G65" s="558">
        <f t="shared" si="2"/>
        <v>0</v>
      </c>
      <c r="H65" s="559">
        <f t="shared" si="0"/>
        <v>0</v>
      </c>
      <c r="I65" s="875"/>
      <c r="J65" s="876"/>
      <c r="K65" s="876"/>
      <c r="L65" s="1060"/>
      <c r="M65" s="558"/>
      <c r="N65" s="559">
        <f t="shared" si="3"/>
        <v>0</v>
      </c>
      <c r="O65" s="875"/>
      <c r="P65" s="876"/>
      <c r="Q65" s="877"/>
      <c r="R65" s="558"/>
      <c r="S65" s="558">
        <f t="shared" si="4"/>
        <v>0</v>
      </c>
      <c r="T65" s="559">
        <f t="shared" si="5"/>
        <v>0</v>
      </c>
      <c r="U65" s="875"/>
      <c r="V65" s="878"/>
      <c r="W65" s="878"/>
      <c r="X65" s="878"/>
      <c r="Y65" s="879"/>
      <c r="Z65" s="558"/>
      <c r="AA65" s="559">
        <f t="shared" si="1"/>
        <v>0</v>
      </c>
      <c r="AB65" s="882"/>
      <c r="AC65" s="878"/>
      <c r="AD65" s="879"/>
      <c r="AE65" s="558"/>
    </row>
    <row r="66" spans="1:32">
      <c r="A66" s="618">
        <f t="shared" si="16"/>
        <v>42</v>
      </c>
      <c r="B66" s="946">
        <v>6</v>
      </c>
      <c r="C66" s="396" t="s">
        <v>1011</v>
      </c>
      <c r="D66" s="1062" t="s">
        <v>1012</v>
      </c>
      <c r="E66" s="1320" t="s">
        <v>1225</v>
      </c>
      <c r="F66" s="1065" t="s">
        <v>1012</v>
      </c>
      <c r="G66" s="558">
        <f t="shared" si="2"/>
        <v>0</v>
      </c>
      <c r="H66" s="559">
        <f>+I66+J66+K66+L66</f>
        <v>0</v>
      </c>
      <c r="I66" s="875"/>
      <c r="J66" s="876"/>
      <c r="K66" s="876"/>
      <c r="L66" s="1060"/>
      <c r="M66" s="558"/>
      <c r="N66" s="559">
        <f>+O66+P66+Q66</f>
        <v>0</v>
      </c>
      <c r="O66" s="875"/>
      <c r="P66" s="876"/>
      <c r="Q66" s="877"/>
      <c r="R66" s="558"/>
      <c r="S66" s="558">
        <f t="shared" si="4"/>
        <v>0</v>
      </c>
      <c r="T66" s="559">
        <f>+U66+V66+W66+X66+Y66</f>
        <v>0</v>
      </c>
      <c r="U66" s="875"/>
      <c r="V66" s="878"/>
      <c r="W66" s="878"/>
      <c r="X66" s="878"/>
      <c r="Y66" s="879"/>
      <c r="Z66" s="558"/>
      <c r="AA66" s="559">
        <f t="shared" si="1"/>
        <v>0</v>
      </c>
      <c r="AB66" s="882"/>
      <c r="AC66" s="878"/>
      <c r="AD66" s="879"/>
      <c r="AE66" s="558"/>
    </row>
    <row r="67" spans="1:32">
      <c r="A67" s="618">
        <f t="shared" si="16"/>
        <v>43</v>
      </c>
      <c r="B67" s="946">
        <v>6</v>
      </c>
      <c r="C67" s="396" t="s">
        <v>702</v>
      </c>
      <c r="D67" s="1062" t="s">
        <v>703</v>
      </c>
      <c r="E67" s="1320" t="s">
        <v>1231</v>
      </c>
      <c r="F67" s="1065" t="s">
        <v>703</v>
      </c>
      <c r="G67" s="558">
        <f t="shared" si="2"/>
        <v>0</v>
      </c>
      <c r="H67" s="559">
        <f t="shared" si="0"/>
        <v>0</v>
      </c>
      <c r="I67" s="875"/>
      <c r="J67" s="876"/>
      <c r="K67" s="876"/>
      <c r="L67" s="1060"/>
      <c r="M67" s="558"/>
      <c r="N67" s="559">
        <f t="shared" si="3"/>
        <v>0</v>
      </c>
      <c r="O67" s="875"/>
      <c r="P67" s="876"/>
      <c r="Q67" s="877"/>
      <c r="R67" s="558"/>
      <c r="S67" s="558">
        <f t="shared" si="4"/>
        <v>0</v>
      </c>
      <c r="T67" s="559">
        <f t="shared" si="5"/>
        <v>0</v>
      </c>
      <c r="U67" s="875"/>
      <c r="V67" s="878"/>
      <c r="W67" s="878"/>
      <c r="X67" s="878"/>
      <c r="Y67" s="879"/>
      <c r="Z67" s="558"/>
      <c r="AA67" s="559">
        <f t="shared" si="1"/>
        <v>0</v>
      </c>
      <c r="AB67" s="882"/>
      <c r="AC67" s="878"/>
      <c r="AD67" s="879"/>
      <c r="AE67" s="558"/>
    </row>
    <row r="68" spans="1:32">
      <c r="A68" s="618">
        <f>+A67+1</f>
        <v>44</v>
      </c>
      <c r="B68" s="946">
        <v>6</v>
      </c>
      <c r="C68" s="396" t="s">
        <v>1015</v>
      </c>
      <c r="D68" s="1062" t="s">
        <v>1013</v>
      </c>
      <c r="E68" s="1320" t="s">
        <v>1233</v>
      </c>
      <c r="F68" s="1065" t="s">
        <v>1013</v>
      </c>
      <c r="G68" s="558">
        <f t="shared" si="2"/>
        <v>0</v>
      </c>
      <c r="H68" s="559">
        <f t="shared" si="0"/>
        <v>0</v>
      </c>
      <c r="I68" s="875"/>
      <c r="J68" s="876"/>
      <c r="K68" s="876"/>
      <c r="L68" s="1060"/>
      <c r="M68" s="558"/>
      <c r="N68" s="559">
        <f t="shared" si="3"/>
        <v>0</v>
      </c>
      <c r="O68" s="875"/>
      <c r="P68" s="876"/>
      <c r="Q68" s="877"/>
      <c r="R68" s="558"/>
      <c r="S68" s="558">
        <f t="shared" si="4"/>
        <v>0</v>
      </c>
      <c r="T68" s="559">
        <f t="shared" si="5"/>
        <v>0</v>
      </c>
      <c r="U68" s="875"/>
      <c r="V68" s="878"/>
      <c r="W68" s="878"/>
      <c r="X68" s="878"/>
      <c r="Y68" s="879"/>
      <c r="Z68" s="558"/>
      <c r="AA68" s="559">
        <f t="shared" ref="AA68:AA99" si="32">+AB68+AC68+AD68</f>
        <v>0</v>
      </c>
      <c r="AB68" s="882"/>
      <c r="AC68" s="878"/>
      <c r="AD68" s="879"/>
      <c r="AE68" s="558"/>
    </row>
    <row r="69" spans="1:32">
      <c r="A69" s="618">
        <f t="shared" si="16"/>
        <v>45</v>
      </c>
      <c r="B69" s="946">
        <v>6</v>
      </c>
      <c r="C69" s="396" t="s">
        <v>1016</v>
      </c>
      <c r="D69" s="1062" t="s">
        <v>1014</v>
      </c>
      <c r="E69" s="1320" t="s">
        <v>1225</v>
      </c>
      <c r="F69" s="1065" t="s">
        <v>1017</v>
      </c>
      <c r="G69" s="558">
        <f t="shared" si="2"/>
        <v>0</v>
      </c>
      <c r="H69" s="559">
        <f t="shared" si="0"/>
        <v>0</v>
      </c>
      <c r="I69" s="875"/>
      <c r="J69" s="876"/>
      <c r="K69" s="876"/>
      <c r="L69" s="1060"/>
      <c r="M69" s="558"/>
      <c r="N69" s="559">
        <f t="shared" si="3"/>
        <v>0</v>
      </c>
      <c r="O69" s="875"/>
      <c r="P69" s="876"/>
      <c r="Q69" s="877"/>
      <c r="R69" s="558"/>
      <c r="S69" s="558">
        <f t="shared" si="4"/>
        <v>0</v>
      </c>
      <c r="T69" s="559">
        <f t="shared" si="5"/>
        <v>0</v>
      </c>
      <c r="U69" s="875"/>
      <c r="V69" s="878"/>
      <c r="W69" s="878"/>
      <c r="X69" s="878"/>
      <c r="Y69" s="879"/>
      <c r="Z69" s="558"/>
      <c r="AA69" s="559">
        <f t="shared" si="32"/>
        <v>0</v>
      </c>
      <c r="AB69" s="882"/>
      <c r="AC69" s="878"/>
      <c r="AD69" s="879"/>
      <c r="AE69" s="558"/>
    </row>
    <row r="70" spans="1:32">
      <c r="A70" s="618">
        <f t="shared" si="16"/>
        <v>46</v>
      </c>
      <c r="B70" s="947">
        <v>8</v>
      </c>
      <c r="C70" s="393" t="s">
        <v>1018</v>
      </c>
      <c r="D70" s="1068" t="s">
        <v>1019</v>
      </c>
      <c r="E70" s="1321" t="s">
        <v>1225</v>
      </c>
      <c r="F70" s="1069" t="s">
        <v>1019</v>
      </c>
      <c r="G70" s="562">
        <f t="shared" si="2"/>
        <v>0</v>
      </c>
      <c r="H70" s="563">
        <f t="shared" si="0"/>
        <v>0</v>
      </c>
      <c r="I70" s="875"/>
      <c r="J70" s="876"/>
      <c r="K70" s="876"/>
      <c r="L70" s="1060"/>
      <c r="M70" s="562"/>
      <c r="N70" s="563">
        <f t="shared" si="3"/>
        <v>0</v>
      </c>
      <c r="O70" s="875"/>
      <c r="P70" s="876"/>
      <c r="Q70" s="877"/>
      <c r="R70" s="562"/>
      <c r="S70" s="558">
        <f t="shared" si="4"/>
        <v>0</v>
      </c>
      <c r="T70" s="559">
        <f t="shared" si="5"/>
        <v>0</v>
      </c>
      <c r="U70" s="875"/>
      <c r="V70" s="878"/>
      <c r="W70" s="878"/>
      <c r="X70" s="878"/>
      <c r="Y70" s="879"/>
      <c r="Z70" s="562"/>
      <c r="AA70" s="559">
        <f t="shared" si="32"/>
        <v>0</v>
      </c>
      <c r="AB70" s="882"/>
      <c r="AC70" s="878"/>
      <c r="AD70" s="879"/>
      <c r="AE70" s="562"/>
    </row>
    <row r="71" spans="1:32">
      <c r="A71" s="618">
        <f t="shared" si="16"/>
        <v>47</v>
      </c>
      <c r="B71" s="947">
        <v>8</v>
      </c>
      <c r="C71" s="393" t="s">
        <v>730</v>
      </c>
      <c r="D71" s="1068" t="s">
        <v>728</v>
      </c>
      <c r="E71" s="1321" t="s">
        <v>1234</v>
      </c>
      <c r="F71" s="1069" t="s">
        <v>657</v>
      </c>
      <c r="G71" s="562">
        <f t="shared" si="2"/>
        <v>0</v>
      </c>
      <c r="H71" s="563">
        <f t="shared" si="0"/>
        <v>0</v>
      </c>
      <c r="I71" s="875"/>
      <c r="J71" s="876"/>
      <c r="K71" s="876"/>
      <c r="L71" s="1060"/>
      <c r="M71" s="562"/>
      <c r="N71" s="563">
        <f t="shared" si="3"/>
        <v>0</v>
      </c>
      <c r="O71" s="875"/>
      <c r="P71" s="876"/>
      <c r="Q71" s="877"/>
      <c r="R71" s="562"/>
      <c r="S71" s="558">
        <f t="shared" si="4"/>
        <v>0</v>
      </c>
      <c r="T71" s="559">
        <f t="shared" si="5"/>
        <v>0</v>
      </c>
      <c r="U71" s="875"/>
      <c r="V71" s="878"/>
      <c r="W71" s="878"/>
      <c r="X71" s="878"/>
      <c r="Y71" s="879"/>
      <c r="Z71" s="562"/>
      <c r="AA71" s="559">
        <f t="shared" si="32"/>
        <v>0</v>
      </c>
      <c r="AB71" s="882"/>
      <c r="AC71" s="878"/>
      <c r="AD71" s="879"/>
      <c r="AE71" s="562"/>
    </row>
    <row r="72" spans="1:32">
      <c r="A72" s="618">
        <f t="shared" si="16"/>
        <v>48</v>
      </c>
      <c r="B72" s="946">
        <v>6</v>
      </c>
      <c r="C72" s="396" t="s">
        <v>731</v>
      </c>
      <c r="D72" s="1062" t="s">
        <v>729</v>
      </c>
      <c r="E72" s="1320" t="s">
        <v>1225</v>
      </c>
      <c r="F72" s="1065" t="s">
        <v>653</v>
      </c>
      <c r="G72" s="558">
        <f t="shared" si="2"/>
        <v>0</v>
      </c>
      <c r="H72" s="559">
        <f>+I72+J72+K72+L72</f>
        <v>0</v>
      </c>
      <c r="I72" s="882"/>
      <c r="J72" s="878"/>
      <c r="K72" s="878"/>
      <c r="L72" s="1070"/>
      <c r="M72" s="558"/>
      <c r="N72" s="559">
        <f>+O72+P72+Q72</f>
        <v>0</v>
      </c>
      <c r="O72" s="882"/>
      <c r="P72" s="878"/>
      <c r="Q72" s="879"/>
      <c r="R72" s="558"/>
      <c r="S72" s="558">
        <f t="shared" si="4"/>
        <v>0</v>
      </c>
      <c r="T72" s="559">
        <f t="shared" si="5"/>
        <v>0</v>
      </c>
      <c r="U72" s="882"/>
      <c r="V72" s="878"/>
      <c r="W72" s="878"/>
      <c r="X72" s="878"/>
      <c r="Y72" s="879"/>
      <c r="Z72" s="558"/>
      <c r="AA72" s="559">
        <f t="shared" si="32"/>
        <v>0</v>
      </c>
      <c r="AB72" s="882"/>
      <c r="AC72" s="878"/>
      <c r="AD72" s="879"/>
      <c r="AE72" s="558"/>
    </row>
    <row r="73" spans="1:32" s="1118" customFormat="1">
      <c r="A73" s="1192" t="str">
        <f>+$C$200&amp;". "&amp;$F$200</f>
        <v>8. Önkormányzati céltámogatások felülvizsgálata</v>
      </c>
      <c r="B73" s="1193"/>
      <c r="C73" s="1193"/>
      <c r="D73" s="1193"/>
      <c r="E73" s="1193"/>
      <c r="F73" s="1194"/>
      <c r="G73" s="1111">
        <f>+H73+M73+N73+R73</f>
        <v>0</v>
      </c>
      <c r="H73" s="1112">
        <f>+I73+J73+K73+L73</f>
        <v>0</v>
      </c>
      <c r="I73" s="931"/>
      <c r="J73" s="932"/>
      <c r="K73" s="932"/>
      <c r="L73" s="1113"/>
      <c r="M73" s="1111"/>
      <c r="N73" s="1112">
        <f>+O73+P73+Q73</f>
        <v>0</v>
      </c>
      <c r="O73" s="931"/>
      <c r="P73" s="932"/>
      <c r="Q73" s="933"/>
      <c r="R73" s="1111"/>
      <c r="S73" s="1111">
        <f>+T73+Z73+AA73+AE73</f>
        <v>2285</v>
      </c>
      <c r="T73" s="1112">
        <f>+U73+V73+W73+X73+Y73</f>
        <v>2285</v>
      </c>
      <c r="U73" s="931"/>
      <c r="V73" s="1119"/>
      <c r="W73" s="1119"/>
      <c r="X73" s="1119"/>
      <c r="Y73" s="1120">
        <f>+$H$200</f>
        <v>2285</v>
      </c>
      <c r="Z73" s="1111"/>
      <c r="AA73" s="1112">
        <f t="shared" si="32"/>
        <v>0</v>
      </c>
      <c r="AB73" s="1121"/>
      <c r="AC73" s="1119"/>
      <c r="AD73" s="1120"/>
      <c r="AE73" s="1111"/>
      <c r="AF73" s="1117">
        <f>-G73+S73</f>
        <v>2285</v>
      </c>
    </row>
    <row r="74" spans="1:32">
      <c r="A74" s="618">
        <f>+A72+1</f>
        <v>49</v>
      </c>
      <c r="B74" s="947">
        <v>6</v>
      </c>
      <c r="C74" s="393" t="s">
        <v>1020</v>
      </c>
      <c r="D74" s="1068" t="s">
        <v>1021</v>
      </c>
      <c r="E74" s="1321" t="s">
        <v>1225</v>
      </c>
      <c r="F74" s="1069" t="s">
        <v>1021</v>
      </c>
      <c r="G74" s="562">
        <f t="shared" ref="G74:G76" si="33">+H74+M74+N74+R74</f>
        <v>0</v>
      </c>
      <c r="H74" s="563">
        <f t="shared" ref="H74:H81" si="34">+I74+J74+K74+L74</f>
        <v>0</v>
      </c>
      <c r="I74" s="875"/>
      <c r="J74" s="876"/>
      <c r="K74" s="876"/>
      <c r="L74" s="1060"/>
      <c r="M74" s="562"/>
      <c r="N74" s="563">
        <f t="shared" ref="N74:N81" si="35">+O74+P74+Q74</f>
        <v>0</v>
      </c>
      <c r="O74" s="875"/>
      <c r="P74" s="876"/>
      <c r="Q74" s="877"/>
      <c r="R74" s="562"/>
      <c r="S74" s="558">
        <f t="shared" ref="S74:S76" si="36">+T74+Z74+AA74+AE74</f>
        <v>0</v>
      </c>
      <c r="T74" s="559">
        <f t="shared" ref="T74:T81" si="37">+U74+V74+W74+X74+Y74</f>
        <v>0</v>
      </c>
      <c r="U74" s="875"/>
      <c r="V74" s="878"/>
      <c r="W74" s="878"/>
      <c r="X74" s="878"/>
      <c r="Y74" s="879"/>
      <c r="Z74" s="562"/>
      <c r="AA74" s="559">
        <f t="shared" ref="AA74:AA76" si="38">+AB74+AC74+AD74</f>
        <v>0</v>
      </c>
      <c r="AB74" s="882"/>
      <c r="AC74" s="878"/>
      <c r="AD74" s="879"/>
      <c r="AE74" s="562"/>
    </row>
    <row r="75" spans="1:32">
      <c r="A75" s="618">
        <f t="shared" si="16"/>
        <v>50</v>
      </c>
      <c r="B75" s="947">
        <v>6</v>
      </c>
      <c r="C75" s="393" t="s">
        <v>679</v>
      </c>
      <c r="D75" s="1068" t="s">
        <v>678</v>
      </c>
      <c r="E75" s="1321" t="s">
        <v>1225</v>
      </c>
      <c r="F75" s="1069" t="s">
        <v>1031</v>
      </c>
      <c r="G75" s="562">
        <f t="shared" si="33"/>
        <v>0</v>
      </c>
      <c r="H75" s="563">
        <f t="shared" si="34"/>
        <v>0</v>
      </c>
      <c r="I75" s="875"/>
      <c r="J75" s="876"/>
      <c r="K75" s="876"/>
      <c r="L75" s="1060"/>
      <c r="M75" s="562"/>
      <c r="N75" s="563">
        <f t="shared" si="35"/>
        <v>0</v>
      </c>
      <c r="O75" s="875"/>
      <c r="P75" s="876"/>
      <c r="Q75" s="877"/>
      <c r="R75" s="562"/>
      <c r="S75" s="558">
        <f t="shared" si="36"/>
        <v>0</v>
      </c>
      <c r="T75" s="559">
        <f t="shared" si="37"/>
        <v>0</v>
      </c>
      <c r="U75" s="875"/>
      <c r="V75" s="878"/>
      <c r="W75" s="878"/>
      <c r="X75" s="878"/>
      <c r="Y75" s="879"/>
      <c r="Z75" s="562"/>
      <c r="AA75" s="559">
        <f t="shared" si="38"/>
        <v>0</v>
      </c>
      <c r="AB75" s="882"/>
      <c r="AC75" s="878"/>
      <c r="AD75" s="879"/>
      <c r="AE75" s="562"/>
    </row>
    <row r="76" spans="1:32">
      <c r="A76" s="618">
        <f t="shared" si="16"/>
        <v>51</v>
      </c>
      <c r="B76" s="947">
        <v>6</v>
      </c>
      <c r="C76" s="393" t="s">
        <v>685</v>
      </c>
      <c r="D76" s="1068" t="s">
        <v>684</v>
      </c>
      <c r="E76" s="1321" t="s">
        <v>1225</v>
      </c>
      <c r="F76" s="1069" t="s">
        <v>1033</v>
      </c>
      <c r="G76" s="562">
        <f t="shared" si="33"/>
        <v>0</v>
      </c>
      <c r="H76" s="563">
        <f t="shared" si="34"/>
        <v>0</v>
      </c>
      <c r="I76" s="875"/>
      <c r="J76" s="876"/>
      <c r="K76" s="876"/>
      <c r="L76" s="1060"/>
      <c r="M76" s="562"/>
      <c r="N76" s="563">
        <f t="shared" si="35"/>
        <v>0</v>
      </c>
      <c r="O76" s="875"/>
      <c r="P76" s="876"/>
      <c r="Q76" s="877"/>
      <c r="R76" s="562"/>
      <c r="S76" s="558">
        <f t="shared" si="36"/>
        <v>0</v>
      </c>
      <c r="T76" s="559">
        <f t="shared" si="37"/>
        <v>0</v>
      </c>
      <c r="U76" s="875"/>
      <c r="V76" s="878"/>
      <c r="W76" s="878"/>
      <c r="X76" s="878"/>
      <c r="Y76" s="879"/>
      <c r="Z76" s="562"/>
      <c r="AA76" s="559">
        <f t="shared" si="38"/>
        <v>0</v>
      </c>
      <c r="AB76" s="882"/>
      <c r="AC76" s="878"/>
      <c r="AD76" s="879"/>
      <c r="AE76" s="562"/>
    </row>
    <row r="77" spans="1:32">
      <c r="A77" s="618">
        <f t="shared" si="16"/>
        <v>52</v>
      </c>
      <c r="B77" s="947">
        <v>8</v>
      </c>
      <c r="C77" s="393" t="s">
        <v>1030</v>
      </c>
      <c r="D77" s="1068" t="s">
        <v>1029</v>
      </c>
      <c r="E77" s="1321" t="s">
        <v>1235</v>
      </c>
      <c r="F77" s="1069" t="s">
        <v>1029</v>
      </c>
      <c r="G77" s="558">
        <f>+H77+M77+N77+R77</f>
        <v>0</v>
      </c>
      <c r="H77" s="559">
        <f t="shared" si="34"/>
        <v>0</v>
      </c>
      <c r="I77" s="882"/>
      <c r="J77" s="878"/>
      <c r="K77" s="878"/>
      <c r="L77" s="1070"/>
      <c r="M77" s="558"/>
      <c r="N77" s="559">
        <f t="shared" si="35"/>
        <v>0</v>
      </c>
      <c r="O77" s="882"/>
      <c r="P77" s="878"/>
      <c r="Q77" s="879"/>
      <c r="R77" s="558"/>
      <c r="S77" s="558">
        <f>+T77+Z77+AA77+AE77</f>
        <v>0</v>
      </c>
      <c r="T77" s="559">
        <f t="shared" si="37"/>
        <v>0</v>
      </c>
      <c r="U77" s="882"/>
      <c r="V77" s="878"/>
      <c r="W77" s="878"/>
      <c r="X77" s="878"/>
      <c r="Y77" s="879"/>
      <c r="Z77" s="558"/>
      <c r="AA77" s="559">
        <f>+AB77+AC77+AD77</f>
        <v>0</v>
      </c>
      <c r="AB77" s="882"/>
      <c r="AC77" s="878"/>
      <c r="AD77" s="879"/>
      <c r="AE77" s="558"/>
    </row>
    <row r="78" spans="1:32">
      <c r="A78" s="618">
        <f t="shared" si="16"/>
        <v>53</v>
      </c>
      <c r="B78" s="947">
        <v>8</v>
      </c>
      <c r="C78" s="393" t="s">
        <v>681</v>
      </c>
      <c r="D78" s="1068" t="s">
        <v>680</v>
      </c>
      <c r="E78" s="1321" t="s">
        <v>1225</v>
      </c>
      <c r="F78" s="1069" t="s">
        <v>637</v>
      </c>
      <c r="G78" s="558">
        <f t="shared" ref="G78" si="39">+H78+M78+N78+R78</f>
        <v>0</v>
      </c>
      <c r="H78" s="559">
        <f t="shared" si="34"/>
        <v>0</v>
      </c>
      <c r="I78" s="882"/>
      <c r="J78" s="878"/>
      <c r="K78" s="878"/>
      <c r="L78" s="1070"/>
      <c r="M78" s="558"/>
      <c r="N78" s="559">
        <f t="shared" si="35"/>
        <v>0</v>
      </c>
      <c r="O78" s="882"/>
      <c r="P78" s="878"/>
      <c r="Q78" s="879"/>
      <c r="R78" s="558"/>
      <c r="S78" s="558">
        <f t="shared" ref="S78" si="40">+T78+Z78+AA78+AE78</f>
        <v>0</v>
      </c>
      <c r="T78" s="559">
        <f t="shared" si="37"/>
        <v>0</v>
      </c>
      <c r="U78" s="882"/>
      <c r="V78" s="878"/>
      <c r="W78" s="878"/>
      <c r="X78" s="878"/>
      <c r="Y78" s="879"/>
      <c r="Z78" s="558"/>
      <c r="AA78" s="559">
        <f t="shared" ref="AA78" si="41">+AB78+AC78+AD78</f>
        <v>0</v>
      </c>
      <c r="AB78" s="882"/>
      <c r="AC78" s="878"/>
      <c r="AD78" s="879"/>
      <c r="AE78" s="558"/>
    </row>
    <row r="79" spans="1:32">
      <c r="A79" s="618">
        <f t="shared" si="16"/>
        <v>54</v>
      </c>
      <c r="B79" s="947">
        <v>8</v>
      </c>
      <c r="C79" s="393" t="s">
        <v>681</v>
      </c>
      <c r="D79" s="1068" t="s">
        <v>680</v>
      </c>
      <c r="E79" s="1321" t="s">
        <v>1225</v>
      </c>
      <c r="F79" s="1069" t="s">
        <v>638</v>
      </c>
      <c r="G79" s="558">
        <f>+H79+M79+N79+R79</f>
        <v>0</v>
      </c>
      <c r="H79" s="559">
        <f t="shared" si="34"/>
        <v>0</v>
      </c>
      <c r="I79" s="882"/>
      <c r="J79" s="878"/>
      <c r="K79" s="878"/>
      <c r="L79" s="1070"/>
      <c r="M79" s="558"/>
      <c r="N79" s="559">
        <f t="shared" si="35"/>
        <v>0</v>
      </c>
      <c r="O79" s="882"/>
      <c r="P79" s="878"/>
      <c r="Q79" s="879"/>
      <c r="R79" s="558"/>
      <c r="S79" s="558">
        <f>+T79+Z79+AA79+AE79</f>
        <v>0</v>
      </c>
      <c r="T79" s="559">
        <f t="shared" si="37"/>
        <v>0</v>
      </c>
      <c r="U79" s="882"/>
      <c r="V79" s="878"/>
      <c r="W79" s="878"/>
      <c r="X79" s="878"/>
      <c r="Y79" s="879"/>
      <c r="Z79" s="558"/>
      <c r="AA79" s="559">
        <f>+AB79+AC79+AD79</f>
        <v>0</v>
      </c>
      <c r="AB79" s="882"/>
      <c r="AC79" s="878"/>
      <c r="AD79" s="879"/>
      <c r="AE79" s="558"/>
    </row>
    <row r="80" spans="1:32">
      <c r="A80" s="618">
        <f t="shared" si="16"/>
        <v>55</v>
      </c>
      <c r="B80" s="947">
        <v>8</v>
      </c>
      <c r="C80" s="393" t="s">
        <v>681</v>
      </c>
      <c r="D80" s="1068" t="s">
        <v>680</v>
      </c>
      <c r="E80" s="1321" t="s">
        <v>1225</v>
      </c>
      <c r="F80" s="1069" t="s">
        <v>639</v>
      </c>
      <c r="G80" s="558">
        <f t="shared" ref="G80" si="42">+H80+M80+N80+R80</f>
        <v>0</v>
      </c>
      <c r="H80" s="559">
        <f t="shared" si="34"/>
        <v>0</v>
      </c>
      <c r="I80" s="882"/>
      <c r="J80" s="878"/>
      <c r="K80" s="878"/>
      <c r="L80" s="1070"/>
      <c r="M80" s="558"/>
      <c r="N80" s="559">
        <f t="shared" si="35"/>
        <v>0</v>
      </c>
      <c r="O80" s="882"/>
      <c r="P80" s="878"/>
      <c r="Q80" s="879"/>
      <c r="R80" s="558"/>
      <c r="S80" s="558">
        <f t="shared" ref="S80" si="43">+T80+Z80+AA80+AE80</f>
        <v>0</v>
      </c>
      <c r="T80" s="559">
        <f t="shared" si="37"/>
        <v>0</v>
      </c>
      <c r="U80" s="882"/>
      <c r="V80" s="878"/>
      <c r="W80" s="878"/>
      <c r="X80" s="878"/>
      <c r="Y80" s="879"/>
      <c r="Z80" s="558"/>
      <c r="AA80" s="559">
        <f t="shared" ref="AA80" si="44">+AB80+AC80+AD80</f>
        <v>0</v>
      </c>
      <c r="AB80" s="882"/>
      <c r="AC80" s="878"/>
      <c r="AD80" s="879"/>
      <c r="AE80" s="558"/>
    </row>
    <row r="81" spans="1:31">
      <c r="A81" s="618">
        <f t="shared" si="16"/>
        <v>56</v>
      </c>
      <c r="B81" s="947">
        <v>8</v>
      </c>
      <c r="C81" s="393" t="s">
        <v>1259</v>
      </c>
      <c r="D81" s="1068" t="s">
        <v>1272</v>
      </c>
      <c r="E81" s="1321" t="s">
        <v>1225</v>
      </c>
      <c r="F81" s="1069" t="s">
        <v>1271</v>
      </c>
      <c r="G81" s="558">
        <f>+H81+M81+N81+R81</f>
        <v>0</v>
      </c>
      <c r="H81" s="559">
        <f t="shared" si="34"/>
        <v>0</v>
      </c>
      <c r="I81" s="882"/>
      <c r="J81" s="878"/>
      <c r="K81" s="878"/>
      <c r="L81" s="1070"/>
      <c r="M81" s="558"/>
      <c r="N81" s="559">
        <f t="shared" si="35"/>
        <v>0</v>
      </c>
      <c r="O81" s="882"/>
      <c r="P81" s="878"/>
      <c r="Q81" s="879"/>
      <c r="R81" s="558"/>
      <c r="S81" s="558">
        <f>+T81+Z81+AA81+AE81</f>
        <v>0</v>
      </c>
      <c r="T81" s="559">
        <f t="shared" si="37"/>
        <v>0</v>
      </c>
      <c r="U81" s="882"/>
      <c r="V81" s="878"/>
      <c r="W81" s="878"/>
      <c r="X81" s="878"/>
      <c r="Y81" s="879"/>
      <c r="Z81" s="558"/>
      <c r="AA81" s="559">
        <f>+AB81+AC81+AD81</f>
        <v>0</v>
      </c>
      <c r="AB81" s="882"/>
      <c r="AC81" s="878"/>
      <c r="AD81" s="879"/>
      <c r="AE81" s="558"/>
    </row>
    <row r="82" spans="1:31">
      <c r="A82" s="618">
        <f t="shared" si="16"/>
        <v>57</v>
      </c>
      <c r="B82" s="947">
        <v>6</v>
      </c>
      <c r="C82" s="393" t="s">
        <v>1037</v>
      </c>
      <c r="D82" s="1068" t="s">
        <v>1039</v>
      </c>
      <c r="E82" s="1321" t="s">
        <v>1225</v>
      </c>
      <c r="F82" s="1069" t="s">
        <v>1038</v>
      </c>
      <c r="G82" s="562">
        <f t="shared" si="2"/>
        <v>0</v>
      </c>
      <c r="H82" s="563">
        <f t="shared" si="0"/>
        <v>0</v>
      </c>
      <c r="I82" s="875"/>
      <c r="J82" s="876"/>
      <c r="K82" s="876"/>
      <c r="L82" s="1060"/>
      <c r="M82" s="562"/>
      <c r="N82" s="563">
        <f t="shared" si="3"/>
        <v>0</v>
      </c>
      <c r="O82" s="875"/>
      <c r="P82" s="876"/>
      <c r="Q82" s="877"/>
      <c r="R82" s="562"/>
      <c r="S82" s="558">
        <f t="shared" si="4"/>
        <v>0</v>
      </c>
      <c r="T82" s="559">
        <f t="shared" si="5"/>
        <v>0</v>
      </c>
      <c r="U82" s="875"/>
      <c r="V82" s="878"/>
      <c r="W82" s="878"/>
      <c r="X82" s="878"/>
      <c r="Y82" s="879"/>
      <c r="Z82" s="562"/>
      <c r="AA82" s="559">
        <f t="shared" si="32"/>
        <v>0</v>
      </c>
      <c r="AB82" s="882"/>
      <c r="AC82" s="878"/>
      <c r="AD82" s="879"/>
      <c r="AE82" s="562"/>
    </row>
    <row r="83" spans="1:31">
      <c r="A83" s="618">
        <f t="shared" si="16"/>
        <v>58</v>
      </c>
      <c r="B83" s="947">
        <v>6</v>
      </c>
      <c r="C83" s="393" t="s">
        <v>1057</v>
      </c>
      <c r="D83" s="1068" t="s">
        <v>1059</v>
      </c>
      <c r="E83" s="1321" t="s">
        <v>1236</v>
      </c>
      <c r="F83" s="1069" t="s">
        <v>1059</v>
      </c>
      <c r="G83" s="562">
        <f t="shared" si="2"/>
        <v>0</v>
      </c>
      <c r="H83" s="563">
        <f t="shared" si="0"/>
        <v>0</v>
      </c>
      <c r="I83" s="875"/>
      <c r="J83" s="876"/>
      <c r="K83" s="876"/>
      <c r="L83" s="1060"/>
      <c r="M83" s="562"/>
      <c r="N83" s="563">
        <f t="shared" si="3"/>
        <v>0</v>
      </c>
      <c r="O83" s="875"/>
      <c r="P83" s="876"/>
      <c r="Q83" s="877"/>
      <c r="R83" s="562"/>
      <c r="S83" s="558">
        <f t="shared" si="4"/>
        <v>0</v>
      </c>
      <c r="T83" s="559">
        <f t="shared" si="5"/>
        <v>0</v>
      </c>
      <c r="U83" s="875"/>
      <c r="V83" s="878"/>
      <c r="W83" s="878"/>
      <c r="X83" s="878"/>
      <c r="Y83" s="879"/>
      <c r="Z83" s="562"/>
      <c r="AA83" s="559">
        <f t="shared" si="32"/>
        <v>0</v>
      </c>
      <c r="AB83" s="882"/>
      <c r="AC83" s="878"/>
      <c r="AD83" s="879"/>
      <c r="AE83" s="562"/>
    </row>
    <row r="84" spans="1:31">
      <c r="A84" s="618">
        <f t="shared" si="16"/>
        <v>59</v>
      </c>
      <c r="B84" s="947">
        <v>6</v>
      </c>
      <c r="C84" s="393" t="s">
        <v>676</v>
      </c>
      <c r="D84" s="1068" t="s">
        <v>677</v>
      </c>
      <c r="E84" s="1321" t="s">
        <v>1225</v>
      </c>
      <c r="F84" s="1069" t="s">
        <v>1032</v>
      </c>
      <c r="G84" s="562">
        <f t="shared" si="2"/>
        <v>0</v>
      </c>
      <c r="H84" s="563">
        <f t="shared" si="0"/>
        <v>0</v>
      </c>
      <c r="I84" s="875"/>
      <c r="J84" s="876"/>
      <c r="K84" s="876"/>
      <c r="L84" s="1060"/>
      <c r="M84" s="562"/>
      <c r="N84" s="563">
        <f t="shared" si="3"/>
        <v>0</v>
      </c>
      <c r="O84" s="875"/>
      <c r="P84" s="876"/>
      <c r="Q84" s="877"/>
      <c r="R84" s="562"/>
      <c r="S84" s="558">
        <f t="shared" si="4"/>
        <v>0</v>
      </c>
      <c r="T84" s="559">
        <f t="shared" si="5"/>
        <v>0</v>
      </c>
      <c r="U84" s="875"/>
      <c r="V84" s="878"/>
      <c r="W84" s="878"/>
      <c r="X84" s="878"/>
      <c r="Y84" s="879"/>
      <c r="Z84" s="562"/>
      <c r="AA84" s="559">
        <f t="shared" si="32"/>
        <v>0</v>
      </c>
      <c r="AB84" s="882"/>
      <c r="AC84" s="878"/>
      <c r="AD84" s="879"/>
      <c r="AE84" s="562"/>
    </row>
    <row r="85" spans="1:31">
      <c r="A85" s="618">
        <f t="shared" si="16"/>
        <v>60</v>
      </c>
      <c r="B85" s="947">
        <v>8</v>
      </c>
      <c r="C85" s="393" t="s">
        <v>682</v>
      </c>
      <c r="D85" s="1068" t="s">
        <v>683</v>
      </c>
      <c r="E85" s="1321" t="s">
        <v>1225</v>
      </c>
      <c r="F85" s="1069" t="s">
        <v>1034</v>
      </c>
      <c r="G85" s="558">
        <f>+H85+M85+N85+R85</f>
        <v>0</v>
      </c>
      <c r="H85" s="559">
        <f t="shared" si="0"/>
        <v>0</v>
      </c>
      <c r="I85" s="882"/>
      <c r="J85" s="878"/>
      <c r="K85" s="878"/>
      <c r="L85" s="1070"/>
      <c r="M85" s="558"/>
      <c r="N85" s="559">
        <f t="shared" si="3"/>
        <v>0</v>
      </c>
      <c r="O85" s="882"/>
      <c r="P85" s="878"/>
      <c r="Q85" s="879"/>
      <c r="R85" s="558"/>
      <c r="S85" s="558">
        <f>+T85+Z85+AA85+AE85</f>
        <v>0</v>
      </c>
      <c r="T85" s="559">
        <f t="shared" ref="T85:T99" si="45">+U85+V85+W85+X85+Y85</f>
        <v>0</v>
      </c>
      <c r="U85" s="882"/>
      <c r="V85" s="878"/>
      <c r="W85" s="878"/>
      <c r="X85" s="878"/>
      <c r="Y85" s="879"/>
      <c r="Z85" s="558"/>
      <c r="AA85" s="559">
        <f>+AB85+AC85+AD85</f>
        <v>0</v>
      </c>
      <c r="AB85" s="882"/>
      <c r="AC85" s="878"/>
      <c r="AD85" s="879"/>
      <c r="AE85" s="558"/>
    </row>
    <row r="86" spans="1:31">
      <c r="A86" s="618">
        <f t="shared" ref="A86:A98" si="46">+A85+1</f>
        <v>61</v>
      </c>
      <c r="B86" s="947">
        <v>8</v>
      </c>
      <c r="C86" s="393" t="s">
        <v>682</v>
      </c>
      <c r="D86" s="1068" t="s">
        <v>689</v>
      </c>
      <c r="E86" s="1321" t="s">
        <v>1225</v>
      </c>
      <c r="F86" s="1069" t="s">
        <v>640</v>
      </c>
      <c r="G86" s="558">
        <f t="shared" si="2"/>
        <v>0</v>
      </c>
      <c r="H86" s="559">
        <f t="shared" si="0"/>
        <v>0</v>
      </c>
      <c r="I86" s="882"/>
      <c r="J86" s="878"/>
      <c r="K86" s="878"/>
      <c r="L86" s="1070"/>
      <c r="M86" s="558"/>
      <c r="N86" s="559">
        <f t="shared" si="3"/>
        <v>0</v>
      </c>
      <c r="O86" s="882"/>
      <c r="P86" s="878"/>
      <c r="Q86" s="879"/>
      <c r="R86" s="558"/>
      <c r="S86" s="558">
        <f t="shared" si="4"/>
        <v>0</v>
      </c>
      <c r="T86" s="559">
        <f t="shared" si="45"/>
        <v>0</v>
      </c>
      <c r="U86" s="882"/>
      <c r="V86" s="878"/>
      <c r="W86" s="878"/>
      <c r="X86" s="878"/>
      <c r="Y86" s="879"/>
      <c r="Z86" s="558"/>
      <c r="AA86" s="559">
        <f t="shared" si="32"/>
        <v>0</v>
      </c>
      <c r="AB86" s="882"/>
      <c r="AC86" s="878"/>
      <c r="AD86" s="879"/>
      <c r="AE86" s="558"/>
    </row>
    <row r="87" spans="1:31">
      <c r="A87" s="618">
        <f t="shared" si="46"/>
        <v>62</v>
      </c>
      <c r="B87" s="947">
        <v>8</v>
      </c>
      <c r="C87" s="393" t="s">
        <v>704</v>
      </c>
      <c r="D87" s="1068" t="s">
        <v>1280</v>
      </c>
      <c r="E87" s="1321" t="s">
        <v>1228</v>
      </c>
      <c r="F87" s="1069" t="s">
        <v>1281</v>
      </c>
      <c r="G87" s="558">
        <f>+H87+M87+N87+R87</f>
        <v>0</v>
      </c>
      <c r="H87" s="559">
        <f t="shared" si="0"/>
        <v>0</v>
      </c>
      <c r="I87" s="882"/>
      <c r="J87" s="878"/>
      <c r="K87" s="878"/>
      <c r="L87" s="1070"/>
      <c r="M87" s="558"/>
      <c r="N87" s="559">
        <f t="shared" si="3"/>
        <v>0</v>
      </c>
      <c r="O87" s="882"/>
      <c r="P87" s="878"/>
      <c r="Q87" s="879"/>
      <c r="R87" s="558"/>
      <c r="S87" s="558">
        <f>+T87+Z87+AA87+AE87</f>
        <v>0</v>
      </c>
      <c r="T87" s="559">
        <f t="shared" si="45"/>
        <v>0</v>
      </c>
      <c r="U87" s="882"/>
      <c r="V87" s="878"/>
      <c r="W87" s="878"/>
      <c r="X87" s="878"/>
      <c r="Y87" s="879"/>
      <c r="Z87" s="558"/>
      <c r="AA87" s="559">
        <f>+AB87+AC87+AD87</f>
        <v>0</v>
      </c>
      <c r="AB87" s="882"/>
      <c r="AC87" s="878"/>
      <c r="AD87" s="879"/>
      <c r="AE87" s="558"/>
    </row>
    <row r="88" spans="1:31">
      <c r="A88" s="618">
        <f t="shared" si="46"/>
        <v>63</v>
      </c>
      <c r="B88" s="947">
        <v>8</v>
      </c>
      <c r="C88" s="393" t="s">
        <v>1254</v>
      </c>
      <c r="D88" s="1068" t="s">
        <v>1252</v>
      </c>
      <c r="E88" s="1321" t="s">
        <v>1225</v>
      </c>
      <c r="F88" s="1069" t="s">
        <v>1282</v>
      </c>
      <c r="G88" s="558">
        <f t="shared" si="2"/>
        <v>0</v>
      </c>
      <c r="H88" s="559">
        <f t="shared" si="0"/>
        <v>0</v>
      </c>
      <c r="I88" s="882"/>
      <c r="J88" s="878"/>
      <c r="K88" s="878"/>
      <c r="L88" s="1070"/>
      <c r="M88" s="558"/>
      <c r="N88" s="559">
        <f t="shared" si="3"/>
        <v>0</v>
      </c>
      <c r="O88" s="882"/>
      <c r="P88" s="878"/>
      <c r="Q88" s="879"/>
      <c r="R88" s="558"/>
      <c r="S88" s="558">
        <f t="shared" si="4"/>
        <v>0</v>
      </c>
      <c r="T88" s="559">
        <f t="shared" si="45"/>
        <v>0</v>
      </c>
      <c r="U88" s="882"/>
      <c r="V88" s="878"/>
      <c r="W88" s="878"/>
      <c r="X88" s="878"/>
      <c r="Y88" s="879"/>
      <c r="Z88" s="558"/>
      <c r="AA88" s="559">
        <f t="shared" si="32"/>
        <v>0</v>
      </c>
      <c r="AB88" s="882"/>
      <c r="AC88" s="878"/>
      <c r="AD88" s="879"/>
      <c r="AE88" s="558"/>
    </row>
    <row r="89" spans="1:31">
      <c r="A89" s="618">
        <f t="shared" si="46"/>
        <v>64</v>
      </c>
      <c r="B89" s="947">
        <v>8</v>
      </c>
      <c r="C89" s="393" t="s">
        <v>1259</v>
      </c>
      <c r="D89" s="1068" t="s">
        <v>1284</v>
      </c>
      <c r="E89" s="1321" t="s">
        <v>1225</v>
      </c>
      <c r="F89" s="1069" t="s">
        <v>1283</v>
      </c>
      <c r="G89" s="558">
        <f>+H89+M89+N89+R89</f>
        <v>0</v>
      </c>
      <c r="H89" s="559">
        <f t="shared" si="0"/>
        <v>0</v>
      </c>
      <c r="I89" s="882"/>
      <c r="J89" s="878"/>
      <c r="K89" s="878"/>
      <c r="L89" s="1070"/>
      <c r="M89" s="558"/>
      <c r="N89" s="559">
        <f t="shared" si="3"/>
        <v>0</v>
      </c>
      <c r="O89" s="882"/>
      <c r="P89" s="878"/>
      <c r="Q89" s="879"/>
      <c r="R89" s="558"/>
      <c r="S89" s="558">
        <f>+T89+Z89+AA89+AE89</f>
        <v>0</v>
      </c>
      <c r="T89" s="559">
        <f t="shared" si="45"/>
        <v>0</v>
      </c>
      <c r="U89" s="882"/>
      <c r="V89" s="878"/>
      <c r="W89" s="878"/>
      <c r="X89" s="878"/>
      <c r="Y89" s="879"/>
      <c r="Z89" s="558"/>
      <c r="AA89" s="559">
        <f>+AB89+AC89+AD89</f>
        <v>0</v>
      </c>
      <c r="AB89" s="882"/>
      <c r="AC89" s="878"/>
      <c r="AD89" s="879"/>
      <c r="AE89" s="558"/>
    </row>
    <row r="90" spans="1:31">
      <c r="A90" s="618">
        <f t="shared" si="46"/>
        <v>65</v>
      </c>
      <c r="B90" s="947">
        <v>8</v>
      </c>
      <c r="C90" s="393" t="s">
        <v>1285</v>
      </c>
      <c r="D90" s="1068" t="s">
        <v>1286</v>
      </c>
      <c r="E90" s="1321" t="s">
        <v>1225</v>
      </c>
      <c r="F90" s="1069" t="s">
        <v>1287</v>
      </c>
      <c r="G90" s="558">
        <f t="shared" si="2"/>
        <v>0</v>
      </c>
      <c r="H90" s="559">
        <f t="shared" si="0"/>
        <v>0</v>
      </c>
      <c r="I90" s="882"/>
      <c r="J90" s="878"/>
      <c r="K90" s="878"/>
      <c r="L90" s="1070"/>
      <c r="M90" s="558"/>
      <c r="N90" s="559">
        <f t="shared" si="3"/>
        <v>0</v>
      </c>
      <c r="O90" s="882"/>
      <c r="P90" s="878"/>
      <c r="Q90" s="879"/>
      <c r="R90" s="558"/>
      <c r="S90" s="558">
        <f t="shared" si="4"/>
        <v>0</v>
      </c>
      <c r="T90" s="559">
        <f t="shared" si="45"/>
        <v>0</v>
      </c>
      <c r="U90" s="882"/>
      <c r="V90" s="878"/>
      <c r="W90" s="878"/>
      <c r="X90" s="878"/>
      <c r="Y90" s="879"/>
      <c r="Z90" s="558"/>
      <c r="AA90" s="559">
        <f t="shared" si="32"/>
        <v>0</v>
      </c>
      <c r="AB90" s="882"/>
      <c r="AC90" s="878"/>
      <c r="AD90" s="879"/>
      <c r="AE90" s="558"/>
    </row>
    <row r="91" spans="1:31">
      <c r="A91" s="618">
        <f t="shared" si="46"/>
        <v>66</v>
      </c>
      <c r="B91" s="947">
        <v>8</v>
      </c>
      <c r="C91" s="393" t="s">
        <v>1288</v>
      </c>
      <c r="D91" s="1068" t="s">
        <v>1289</v>
      </c>
      <c r="E91" s="1321" t="s">
        <v>1225</v>
      </c>
      <c r="F91" s="1069" t="s">
        <v>1294</v>
      </c>
      <c r="G91" s="558">
        <f>+H91+M91+N91+R91</f>
        <v>0</v>
      </c>
      <c r="H91" s="559">
        <f t="shared" ref="H91:H97" si="47">+I91+J91+K91+L91</f>
        <v>0</v>
      </c>
      <c r="I91" s="882"/>
      <c r="J91" s="878"/>
      <c r="K91" s="878"/>
      <c r="L91" s="1070"/>
      <c r="M91" s="558"/>
      <c r="N91" s="559">
        <f t="shared" ref="N91:N97" si="48">+O91+P91+Q91</f>
        <v>0</v>
      </c>
      <c r="O91" s="882"/>
      <c r="P91" s="878"/>
      <c r="Q91" s="879"/>
      <c r="R91" s="558"/>
      <c r="S91" s="558">
        <f>+T91+Z91+AA91+AE91</f>
        <v>0</v>
      </c>
      <c r="T91" s="559">
        <f t="shared" ref="T91:T97" si="49">+U91+V91+W91+X91+Y91</f>
        <v>0</v>
      </c>
      <c r="U91" s="882"/>
      <c r="V91" s="878"/>
      <c r="W91" s="878"/>
      <c r="X91" s="878"/>
      <c r="Y91" s="879"/>
      <c r="Z91" s="558"/>
      <c r="AA91" s="559">
        <f>+AB91+AC91+AD91</f>
        <v>0</v>
      </c>
      <c r="AB91" s="882"/>
      <c r="AC91" s="878"/>
      <c r="AD91" s="879"/>
      <c r="AE91" s="558"/>
    </row>
    <row r="92" spans="1:31">
      <c r="A92" s="618">
        <f t="shared" si="46"/>
        <v>67</v>
      </c>
      <c r="B92" s="947">
        <v>8</v>
      </c>
      <c r="C92" s="393" t="s">
        <v>1290</v>
      </c>
      <c r="D92" s="1068" t="s">
        <v>1291</v>
      </c>
      <c r="E92" s="1321" t="s">
        <v>1292</v>
      </c>
      <c r="F92" s="1069" t="s">
        <v>1293</v>
      </c>
      <c r="G92" s="558">
        <f>+H92+M92+N92+R92</f>
        <v>0</v>
      </c>
      <c r="H92" s="559">
        <f t="shared" si="47"/>
        <v>0</v>
      </c>
      <c r="I92" s="882"/>
      <c r="J92" s="878"/>
      <c r="K92" s="878"/>
      <c r="L92" s="1070"/>
      <c r="M92" s="558"/>
      <c r="N92" s="559">
        <f t="shared" si="48"/>
        <v>0</v>
      </c>
      <c r="O92" s="882"/>
      <c r="P92" s="878"/>
      <c r="Q92" s="879"/>
      <c r="R92" s="558"/>
      <c r="S92" s="558">
        <f>+T92+Z92+AA92+AE92</f>
        <v>0</v>
      </c>
      <c r="T92" s="559">
        <f t="shared" si="49"/>
        <v>0</v>
      </c>
      <c r="U92" s="882"/>
      <c r="V92" s="878"/>
      <c r="W92" s="878"/>
      <c r="X92" s="878"/>
      <c r="Y92" s="879"/>
      <c r="Z92" s="558"/>
      <c r="AA92" s="559">
        <f>+AB92+AC92+AD92</f>
        <v>0</v>
      </c>
      <c r="AB92" s="882"/>
      <c r="AC92" s="878"/>
      <c r="AD92" s="879"/>
      <c r="AE92" s="558"/>
    </row>
    <row r="93" spans="1:31">
      <c r="A93" s="618">
        <f t="shared" si="46"/>
        <v>68</v>
      </c>
      <c r="B93" s="947">
        <v>8</v>
      </c>
      <c r="C93" s="393" t="s">
        <v>1037</v>
      </c>
      <c r="D93" s="1068" t="s">
        <v>1295</v>
      </c>
      <c r="E93" s="1321" t="s">
        <v>1225</v>
      </c>
      <c r="F93" s="1069" t="s">
        <v>1296</v>
      </c>
      <c r="G93" s="558">
        <f>+H93+M93+N93+R93</f>
        <v>0</v>
      </c>
      <c r="H93" s="559">
        <f t="shared" si="47"/>
        <v>0</v>
      </c>
      <c r="I93" s="882"/>
      <c r="J93" s="878"/>
      <c r="K93" s="878"/>
      <c r="L93" s="1070"/>
      <c r="M93" s="558"/>
      <c r="N93" s="559">
        <f t="shared" si="48"/>
        <v>0</v>
      </c>
      <c r="O93" s="882"/>
      <c r="P93" s="878"/>
      <c r="Q93" s="879"/>
      <c r="R93" s="558"/>
      <c r="S93" s="558">
        <f>+T93+Z93+AA93+AE93</f>
        <v>0</v>
      </c>
      <c r="T93" s="559">
        <f t="shared" si="49"/>
        <v>0</v>
      </c>
      <c r="U93" s="882"/>
      <c r="V93" s="878"/>
      <c r="W93" s="878"/>
      <c r="X93" s="878"/>
      <c r="Y93" s="879"/>
      <c r="Z93" s="558"/>
      <c r="AA93" s="559">
        <f>+AB93+AC93+AD93</f>
        <v>0</v>
      </c>
      <c r="AB93" s="882"/>
      <c r="AC93" s="878"/>
      <c r="AD93" s="879"/>
      <c r="AE93" s="558"/>
    </row>
    <row r="94" spans="1:31">
      <c r="A94" s="618">
        <f t="shared" si="46"/>
        <v>69</v>
      </c>
      <c r="B94" s="947">
        <v>8</v>
      </c>
      <c r="C94" s="393" t="s">
        <v>1254</v>
      </c>
      <c r="D94" s="1068" t="s">
        <v>1252</v>
      </c>
      <c r="E94" s="1321" t="s">
        <v>1225</v>
      </c>
      <c r="F94" s="1069" t="s">
        <v>1297</v>
      </c>
      <c r="G94" s="558">
        <f>+H94+M94+N94+R94</f>
        <v>0</v>
      </c>
      <c r="H94" s="559">
        <f t="shared" si="47"/>
        <v>0</v>
      </c>
      <c r="I94" s="882"/>
      <c r="J94" s="878"/>
      <c r="K94" s="878"/>
      <c r="L94" s="1070"/>
      <c r="M94" s="558"/>
      <c r="N94" s="559">
        <f t="shared" si="48"/>
        <v>0</v>
      </c>
      <c r="O94" s="882"/>
      <c r="P94" s="878"/>
      <c r="Q94" s="879"/>
      <c r="R94" s="558"/>
      <c r="S94" s="558">
        <f>+T94+Z94+AA94+AE94</f>
        <v>0</v>
      </c>
      <c r="T94" s="559">
        <f t="shared" si="49"/>
        <v>0</v>
      </c>
      <c r="U94" s="882"/>
      <c r="V94" s="878"/>
      <c r="W94" s="878"/>
      <c r="X94" s="878"/>
      <c r="Y94" s="879"/>
      <c r="Z94" s="558"/>
      <c r="AA94" s="559">
        <f>+AB94+AC94+AD94</f>
        <v>0</v>
      </c>
      <c r="AB94" s="882"/>
      <c r="AC94" s="878"/>
      <c r="AD94" s="879"/>
      <c r="AE94" s="558"/>
    </row>
    <row r="95" spans="1:31">
      <c r="A95" s="618">
        <f t="shared" si="46"/>
        <v>70</v>
      </c>
      <c r="B95" s="947">
        <v>8</v>
      </c>
      <c r="C95" s="393" t="s">
        <v>1298</v>
      </c>
      <c r="D95" s="1068" t="s">
        <v>1300</v>
      </c>
      <c r="E95" s="1321" t="s">
        <v>1225</v>
      </c>
      <c r="F95" s="1069" t="s">
        <v>1299</v>
      </c>
      <c r="G95" s="558">
        <f>+H95+M95+N95+R95</f>
        <v>0</v>
      </c>
      <c r="H95" s="559">
        <f t="shared" si="47"/>
        <v>0</v>
      </c>
      <c r="I95" s="882"/>
      <c r="J95" s="878"/>
      <c r="K95" s="878"/>
      <c r="L95" s="1070"/>
      <c r="M95" s="558"/>
      <c r="N95" s="559">
        <f t="shared" si="48"/>
        <v>0</v>
      </c>
      <c r="O95" s="882"/>
      <c r="P95" s="878"/>
      <c r="Q95" s="879"/>
      <c r="R95" s="558"/>
      <c r="S95" s="558">
        <f>+T95+Z95+AA95+AE95</f>
        <v>0</v>
      </c>
      <c r="T95" s="559">
        <f t="shared" si="49"/>
        <v>0</v>
      </c>
      <c r="U95" s="882"/>
      <c r="V95" s="878"/>
      <c r="W95" s="878"/>
      <c r="X95" s="878"/>
      <c r="Y95" s="879"/>
      <c r="Z95" s="558"/>
      <c r="AA95" s="559">
        <f>+AB95+AC95+AD95</f>
        <v>0</v>
      </c>
      <c r="AB95" s="882"/>
      <c r="AC95" s="878"/>
      <c r="AD95" s="879"/>
      <c r="AE95" s="558"/>
    </row>
    <row r="96" spans="1:31">
      <c r="A96" s="618">
        <f t="shared" si="46"/>
        <v>71</v>
      </c>
      <c r="B96" s="947">
        <v>8</v>
      </c>
      <c r="C96" s="393" t="s">
        <v>1259</v>
      </c>
      <c r="D96" s="1068" t="s">
        <v>1260</v>
      </c>
      <c r="E96" s="1321" t="s">
        <v>1225</v>
      </c>
      <c r="F96" s="1069" t="s">
        <v>1301</v>
      </c>
      <c r="G96" s="558">
        <f t="shared" ref="G96:G97" si="50">+H96+M96+N96+R96</f>
        <v>0</v>
      </c>
      <c r="H96" s="559">
        <f t="shared" si="47"/>
        <v>0</v>
      </c>
      <c r="I96" s="882"/>
      <c r="J96" s="878"/>
      <c r="K96" s="878"/>
      <c r="L96" s="1070"/>
      <c r="M96" s="558"/>
      <c r="N96" s="559">
        <f t="shared" si="48"/>
        <v>0</v>
      </c>
      <c r="O96" s="882"/>
      <c r="P96" s="878"/>
      <c r="Q96" s="879"/>
      <c r="R96" s="558"/>
      <c r="S96" s="558">
        <f t="shared" ref="S96:S97" si="51">+T96+Z96+AA96+AE96</f>
        <v>0</v>
      </c>
      <c r="T96" s="559">
        <f t="shared" si="49"/>
        <v>0</v>
      </c>
      <c r="U96" s="882"/>
      <c r="V96" s="878"/>
      <c r="W96" s="878"/>
      <c r="X96" s="878"/>
      <c r="Y96" s="879"/>
      <c r="Z96" s="558"/>
      <c r="AA96" s="559">
        <f t="shared" ref="AA96:AA97" si="52">+AB96+AC96+AD96</f>
        <v>0</v>
      </c>
      <c r="AB96" s="882"/>
      <c r="AC96" s="878"/>
      <c r="AD96" s="879"/>
      <c r="AE96" s="558"/>
    </row>
    <row r="97" spans="1:32">
      <c r="A97" s="618">
        <f t="shared" si="46"/>
        <v>72</v>
      </c>
      <c r="B97" s="947">
        <v>8</v>
      </c>
      <c r="C97" s="393" t="s">
        <v>1288</v>
      </c>
      <c r="D97" s="1068" t="s">
        <v>1302</v>
      </c>
      <c r="E97" s="1321" t="s">
        <v>1225</v>
      </c>
      <c r="F97" s="1069" t="s">
        <v>1303</v>
      </c>
      <c r="G97" s="558">
        <f t="shared" si="50"/>
        <v>0</v>
      </c>
      <c r="H97" s="559">
        <f t="shared" si="47"/>
        <v>0</v>
      </c>
      <c r="I97" s="882"/>
      <c r="J97" s="878"/>
      <c r="K97" s="878"/>
      <c r="L97" s="1070"/>
      <c r="M97" s="558"/>
      <c r="N97" s="559">
        <f t="shared" si="48"/>
        <v>0</v>
      </c>
      <c r="O97" s="882"/>
      <c r="P97" s="878"/>
      <c r="Q97" s="879"/>
      <c r="R97" s="558"/>
      <c r="S97" s="558">
        <f t="shared" si="51"/>
        <v>0</v>
      </c>
      <c r="T97" s="559">
        <f t="shared" si="49"/>
        <v>0</v>
      </c>
      <c r="U97" s="882"/>
      <c r="V97" s="878"/>
      <c r="W97" s="878"/>
      <c r="X97" s="878"/>
      <c r="Y97" s="879"/>
      <c r="Z97" s="558"/>
      <c r="AA97" s="559">
        <f t="shared" si="52"/>
        <v>0</v>
      </c>
      <c r="AB97" s="882"/>
      <c r="AC97" s="878"/>
      <c r="AD97" s="879"/>
      <c r="AE97" s="558"/>
    </row>
    <row r="98" spans="1:32">
      <c r="A98" s="618">
        <f t="shared" si="46"/>
        <v>73</v>
      </c>
      <c r="B98" s="947">
        <v>8</v>
      </c>
      <c r="C98" s="393" t="s">
        <v>671</v>
      </c>
      <c r="D98" s="1068" t="s">
        <v>670</v>
      </c>
      <c r="E98" s="1321" t="s">
        <v>1225</v>
      </c>
      <c r="F98" s="1069" t="s">
        <v>635</v>
      </c>
      <c r="G98" s="558">
        <f>+H98+M98+N98+R98</f>
        <v>0</v>
      </c>
      <c r="H98" s="559">
        <f t="shared" si="0"/>
        <v>0</v>
      </c>
      <c r="I98" s="882"/>
      <c r="J98" s="878"/>
      <c r="K98" s="878"/>
      <c r="L98" s="1070"/>
      <c r="M98" s="558"/>
      <c r="N98" s="559">
        <f t="shared" si="3"/>
        <v>0</v>
      </c>
      <c r="O98" s="882"/>
      <c r="P98" s="878"/>
      <c r="Q98" s="879"/>
      <c r="R98" s="558"/>
      <c r="S98" s="558">
        <f>+T98+Z98+AA98+AE98</f>
        <v>0</v>
      </c>
      <c r="T98" s="559">
        <f t="shared" si="45"/>
        <v>0</v>
      </c>
      <c r="U98" s="882"/>
      <c r="V98" s="878"/>
      <c r="W98" s="878"/>
      <c r="X98" s="878"/>
      <c r="Y98" s="879"/>
      <c r="Z98" s="558"/>
      <c r="AA98" s="559">
        <f>+AB98+AC98+AD98</f>
        <v>0</v>
      </c>
      <c r="AB98" s="882"/>
      <c r="AC98" s="878"/>
      <c r="AD98" s="879"/>
      <c r="AE98" s="558"/>
    </row>
    <row r="99" spans="1:32" s="1118" customFormat="1" ht="12.75" thickBot="1">
      <c r="A99" s="1189" t="str">
        <f>+$C$194&amp;". "&amp;$F$194</f>
        <v>2. Fejlesztési hitel felvétele - Szent István út és az Alkotmány út egy részének komplex felújítása önerő</v>
      </c>
      <c r="B99" s="1190"/>
      <c r="C99" s="1190"/>
      <c r="D99" s="1190"/>
      <c r="E99" s="1190"/>
      <c r="F99" s="1191"/>
      <c r="G99" s="1111">
        <f>+H99+M99+N99+R99</f>
        <v>10000</v>
      </c>
      <c r="H99" s="1112">
        <f>+I99+J99+K99+L99</f>
        <v>0</v>
      </c>
      <c r="I99" s="931"/>
      <c r="J99" s="932"/>
      <c r="K99" s="932"/>
      <c r="L99" s="1113"/>
      <c r="M99" s="1111"/>
      <c r="N99" s="1112">
        <f>+O99+P99+Q99</f>
        <v>0</v>
      </c>
      <c r="O99" s="931"/>
      <c r="P99" s="932"/>
      <c r="Q99" s="933"/>
      <c r="R99" s="1111">
        <f>-$H$194</f>
        <v>10000</v>
      </c>
      <c r="S99" s="1111">
        <f>+T99+Z99+AA99+AE99</f>
        <v>0</v>
      </c>
      <c r="T99" s="1112">
        <f t="shared" si="45"/>
        <v>0</v>
      </c>
      <c r="U99" s="931"/>
      <c r="V99" s="1114"/>
      <c r="W99" s="1114"/>
      <c r="X99" s="1114"/>
      <c r="Y99" s="1115"/>
      <c r="Z99" s="1111"/>
      <c r="AA99" s="1112">
        <f t="shared" si="32"/>
        <v>0</v>
      </c>
      <c r="AB99" s="1116"/>
      <c r="AC99" s="1114"/>
      <c r="AD99" s="1115"/>
      <c r="AE99" s="1111"/>
      <c r="AF99" s="1117">
        <f>-G99+S99</f>
        <v>-10000</v>
      </c>
    </row>
    <row r="100" spans="1:32" s="549" customFormat="1" ht="12.75" thickBot="1">
      <c r="A100" s="614" t="s">
        <v>587</v>
      </c>
      <c r="B100" s="948"/>
      <c r="C100" s="1198" t="s">
        <v>410</v>
      </c>
      <c r="D100" s="1199"/>
      <c r="E100" s="1199"/>
      <c r="F100" s="1200"/>
      <c r="G100" s="566">
        <f t="shared" ref="G100:AE100" si="53">SUM(G8:G99)</f>
        <v>57839</v>
      </c>
      <c r="H100" s="477">
        <f t="shared" si="53"/>
        <v>35540</v>
      </c>
      <c r="I100" s="567">
        <f t="shared" si="53"/>
        <v>7540</v>
      </c>
      <c r="J100" s="404">
        <f t="shared" si="53"/>
        <v>20000</v>
      </c>
      <c r="K100" s="404">
        <f t="shared" si="53"/>
        <v>8000</v>
      </c>
      <c r="L100" s="1071">
        <f t="shared" si="53"/>
        <v>0</v>
      </c>
      <c r="M100" s="566">
        <f t="shared" si="53"/>
        <v>0</v>
      </c>
      <c r="N100" s="477">
        <f t="shared" si="53"/>
        <v>12299</v>
      </c>
      <c r="O100" s="567">
        <f t="shared" si="53"/>
        <v>2299</v>
      </c>
      <c r="P100" s="404">
        <f t="shared" si="53"/>
        <v>10000</v>
      </c>
      <c r="Q100" s="391">
        <f t="shared" si="53"/>
        <v>0</v>
      </c>
      <c r="R100" s="566">
        <f t="shared" si="53"/>
        <v>10000</v>
      </c>
      <c r="S100" s="566">
        <f t="shared" si="53"/>
        <v>-22139</v>
      </c>
      <c r="T100" s="596">
        <f t="shared" si="53"/>
        <v>-17639</v>
      </c>
      <c r="U100" s="597">
        <f t="shared" si="53"/>
        <v>0</v>
      </c>
      <c r="V100" s="598">
        <f t="shared" si="53"/>
        <v>0</v>
      </c>
      <c r="W100" s="598">
        <f t="shared" si="53"/>
        <v>-21664</v>
      </c>
      <c r="X100" s="598">
        <f t="shared" si="53"/>
        <v>0</v>
      </c>
      <c r="Y100" s="477">
        <f t="shared" si="53"/>
        <v>4025</v>
      </c>
      <c r="Z100" s="566">
        <f t="shared" si="53"/>
        <v>0</v>
      </c>
      <c r="AA100" s="599">
        <f t="shared" si="53"/>
        <v>-4500</v>
      </c>
      <c r="AB100" s="597">
        <f t="shared" si="53"/>
        <v>-500</v>
      </c>
      <c r="AC100" s="598">
        <f t="shared" si="53"/>
        <v>-4000</v>
      </c>
      <c r="AD100" s="477">
        <f t="shared" si="53"/>
        <v>0</v>
      </c>
      <c r="AE100" s="566">
        <f t="shared" si="53"/>
        <v>0</v>
      </c>
    </row>
    <row r="101" spans="1:32">
      <c r="A101" s="618">
        <f>A98+1</f>
        <v>74</v>
      </c>
      <c r="B101" s="945">
        <v>9</v>
      </c>
      <c r="C101" s="393" t="s">
        <v>1030</v>
      </c>
      <c r="D101" s="1068" t="s">
        <v>1029</v>
      </c>
      <c r="E101" s="1321" t="s">
        <v>1235</v>
      </c>
      <c r="F101" s="1069" t="s">
        <v>1097</v>
      </c>
      <c r="G101" s="540">
        <f t="shared" ref="G101:G106" si="54">+H101+M101+N101+R101</f>
        <v>0</v>
      </c>
      <c r="H101" s="541">
        <f t="shared" ref="H101:H106" si="55">+I101+J101+K101+L101</f>
        <v>0</v>
      </c>
      <c r="I101" s="875"/>
      <c r="J101" s="876"/>
      <c r="K101" s="876"/>
      <c r="L101" s="1060"/>
      <c r="M101" s="540"/>
      <c r="N101" s="541">
        <f t="shared" ref="N101:N106" si="56">+O101+P101+Q101</f>
        <v>0</v>
      </c>
      <c r="O101" s="875"/>
      <c r="P101" s="876"/>
      <c r="Q101" s="877"/>
      <c r="R101" s="540"/>
      <c r="S101" s="558">
        <f t="shared" ref="S101:S106" si="57">+T101+Z101+AA101+AE101</f>
        <v>0</v>
      </c>
      <c r="T101" s="559">
        <f t="shared" ref="T101:T106" si="58">+U101+V101+W101+X101+Y101</f>
        <v>0</v>
      </c>
      <c r="U101" s="875"/>
      <c r="V101" s="876"/>
      <c r="W101" s="876"/>
      <c r="X101" s="876"/>
      <c r="Y101" s="877"/>
      <c r="Z101" s="540"/>
      <c r="AA101" s="559">
        <f t="shared" ref="AA101:AA106" si="59">+AB101+AC101+AD101</f>
        <v>0</v>
      </c>
      <c r="AB101" s="875"/>
      <c r="AC101" s="876"/>
      <c r="AD101" s="877"/>
      <c r="AE101" s="540"/>
    </row>
    <row r="102" spans="1:32">
      <c r="A102" s="618">
        <f>+A101+1</f>
        <v>75</v>
      </c>
      <c r="B102" s="946">
        <v>10</v>
      </c>
      <c r="C102" s="393" t="s">
        <v>734</v>
      </c>
      <c r="D102" s="1068" t="s">
        <v>735</v>
      </c>
      <c r="E102" s="1321" t="s">
        <v>1225</v>
      </c>
      <c r="F102" s="1069" t="s">
        <v>656</v>
      </c>
      <c r="G102" s="558">
        <f t="shared" si="54"/>
        <v>0</v>
      </c>
      <c r="H102" s="559">
        <f t="shared" si="55"/>
        <v>0</v>
      </c>
      <c r="I102" s="875"/>
      <c r="J102" s="878"/>
      <c r="K102" s="878"/>
      <c r="L102" s="1070"/>
      <c r="M102" s="558"/>
      <c r="N102" s="559">
        <f t="shared" si="56"/>
        <v>0</v>
      </c>
      <c r="O102" s="882"/>
      <c r="P102" s="878"/>
      <c r="Q102" s="879"/>
      <c r="R102" s="558"/>
      <c r="S102" s="558">
        <f t="shared" si="57"/>
        <v>0</v>
      </c>
      <c r="T102" s="559">
        <f t="shared" si="58"/>
        <v>0</v>
      </c>
      <c r="U102" s="875"/>
      <c r="V102" s="878"/>
      <c r="W102" s="878"/>
      <c r="X102" s="878"/>
      <c r="Y102" s="879"/>
      <c r="Z102" s="558"/>
      <c r="AA102" s="559">
        <f t="shared" si="59"/>
        <v>0</v>
      </c>
      <c r="AB102" s="882"/>
      <c r="AC102" s="878"/>
      <c r="AD102" s="879"/>
      <c r="AE102" s="558"/>
    </row>
    <row r="103" spans="1:32">
      <c r="A103" s="618">
        <f>+A102+1</f>
        <v>76</v>
      </c>
      <c r="B103" s="945">
        <v>10</v>
      </c>
      <c r="C103" s="393" t="s">
        <v>733</v>
      </c>
      <c r="D103" s="1068" t="s">
        <v>1022</v>
      </c>
      <c r="E103" s="1321" t="s">
        <v>1237</v>
      </c>
      <c r="F103" s="1069" t="s">
        <v>655</v>
      </c>
      <c r="G103" s="558">
        <f t="shared" si="54"/>
        <v>0</v>
      </c>
      <c r="H103" s="559">
        <f t="shared" si="55"/>
        <v>0</v>
      </c>
      <c r="I103" s="875"/>
      <c r="J103" s="878"/>
      <c r="K103" s="878"/>
      <c r="L103" s="1070"/>
      <c r="M103" s="558"/>
      <c r="N103" s="559">
        <f t="shared" si="56"/>
        <v>0</v>
      </c>
      <c r="O103" s="882"/>
      <c r="P103" s="878"/>
      <c r="Q103" s="879"/>
      <c r="R103" s="558"/>
      <c r="S103" s="558">
        <f t="shared" si="57"/>
        <v>0</v>
      </c>
      <c r="T103" s="559">
        <f t="shared" si="58"/>
        <v>0</v>
      </c>
      <c r="U103" s="875"/>
      <c r="V103" s="878"/>
      <c r="W103" s="878"/>
      <c r="X103" s="878"/>
      <c r="Y103" s="879"/>
      <c r="Z103" s="558"/>
      <c r="AA103" s="559">
        <f t="shared" si="59"/>
        <v>0</v>
      </c>
      <c r="AB103" s="882"/>
      <c r="AC103" s="878"/>
      <c r="AD103" s="879"/>
      <c r="AE103" s="558"/>
    </row>
    <row r="104" spans="1:32">
      <c r="A104" s="618">
        <f>+A103+1</f>
        <v>77</v>
      </c>
      <c r="B104" s="946">
        <v>10</v>
      </c>
      <c r="C104" s="396" t="s">
        <v>737</v>
      </c>
      <c r="D104" s="1062" t="s">
        <v>736</v>
      </c>
      <c r="E104" s="1320" t="s">
        <v>1225</v>
      </c>
      <c r="F104" s="1065" t="s">
        <v>664</v>
      </c>
      <c r="G104" s="558">
        <f t="shared" si="54"/>
        <v>0</v>
      </c>
      <c r="H104" s="559">
        <f t="shared" si="55"/>
        <v>0</v>
      </c>
      <c r="I104" s="882"/>
      <c r="J104" s="878"/>
      <c r="K104" s="878"/>
      <c r="L104" s="1070"/>
      <c r="M104" s="558"/>
      <c r="N104" s="559">
        <f t="shared" si="56"/>
        <v>0</v>
      </c>
      <c r="O104" s="882"/>
      <c r="P104" s="878"/>
      <c r="Q104" s="879"/>
      <c r="R104" s="558"/>
      <c r="S104" s="558">
        <f t="shared" si="57"/>
        <v>0</v>
      </c>
      <c r="T104" s="559">
        <f t="shared" si="58"/>
        <v>0</v>
      </c>
      <c r="U104" s="882"/>
      <c r="V104" s="878"/>
      <c r="W104" s="878"/>
      <c r="X104" s="878"/>
      <c r="Y104" s="879"/>
      <c r="Z104" s="558"/>
      <c r="AA104" s="559">
        <f t="shared" si="59"/>
        <v>0</v>
      </c>
      <c r="AB104" s="882"/>
      <c r="AC104" s="878"/>
      <c r="AD104" s="879"/>
      <c r="AE104" s="558"/>
    </row>
    <row r="105" spans="1:32">
      <c r="A105" s="618">
        <f>+A104+1</f>
        <v>78</v>
      </c>
      <c r="B105" s="945">
        <v>10</v>
      </c>
      <c r="C105" s="393" t="s">
        <v>1035</v>
      </c>
      <c r="D105" s="1068" t="s">
        <v>1036</v>
      </c>
      <c r="E105" s="1321" t="s">
        <v>1225</v>
      </c>
      <c r="F105" s="1069" t="s">
        <v>654</v>
      </c>
      <c r="G105" s="558">
        <f t="shared" si="54"/>
        <v>0</v>
      </c>
      <c r="H105" s="559">
        <f t="shared" si="55"/>
        <v>0</v>
      </c>
      <c r="I105" s="875"/>
      <c r="J105" s="878"/>
      <c r="K105" s="876"/>
      <c r="L105" s="1070"/>
      <c r="M105" s="558"/>
      <c r="N105" s="559">
        <f t="shared" si="56"/>
        <v>0</v>
      </c>
      <c r="O105" s="882"/>
      <c r="P105" s="876"/>
      <c r="Q105" s="879"/>
      <c r="R105" s="558"/>
      <c r="S105" s="558">
        <f t="shared" si="57"/>
        <v>0</v>
      </c>
      <c r="T105" s="559">
        <f t="shared" si="58"/>
        <v>0</v>
      </c>
      <c r="U105" s="875"/>
      <c r="V105" s="878"/>
      <c r="W105" s="878"/>
      <c r="X105" s="878"/>
      <c r="Y105" s="879"/>
      <c r="Z105" s="558"/>
      <c r="AA105" s="559">
        <f t="shared" si="59"/>
        <v>0</v>
      </c>
      <c r="AB105" s="882"/>
      <c r="AC105" s="878"/>
      <c r="AD105" s="879"/>
      <c r="AE105" s="558"/>
    </row>
    <row r="106" spans="1:32" ht="12.75" thickBot="1">
      <c r="A106" s="618">
        <f>+A105+1</f>
        <v>79</v>
      </c>
      <c r="B106" s="946">
        <v>9</v>
      </c>
      <c r="C106" s="393" t="s">
        <v>687</v>
      </c>
      <c r="D106" s="1068" t="s">
        <v>688</v>
      </c>
      <c r="E106" s="1321" t="s">
        <v>1225</v>
      </c>
      <c r="F106" s="1069" t="s">
        <v>686</v>
      </c>
      <c r="G106" s="558">
        <f t="shared" si="54"/>
        <v>0</v>
      </c>
      <c r="H106" s="559">
        <f t="shared" si="55"/>
        <v>0</v>
      </c>
      <c r="I106" s="875"/>
      <c r="J106" s="878"/>
      <c r="K106" s="878"/>
      <c r="L106" s="1070"/>
      <c r="M106" s="558"/>
      <c r="N106" s="559">
        <f t="shared" si="56"/>
        <v>0</v>
      </c>
      <c r="O106" s="882"/>
      <c r="P106" s="878"/>
      <c r="Q106" s="879"/>
      <c r="R106" s="558"/>
      <c r="S106" s="558">
        <f t="shared" si="57"/>
        <v>0</v>
      </c>
      <c r="T106" s="559">
        <f t="shared" si="58"/>
        <v>0</v>
      </c>
      <c r="U106" s="875"/>
      <c r="V106" s="878"/>
      <c r="W106" s="878"/>
      <c r="X106" s="878"/>
      <c r="Y106" s="879"/>
      <c r="Z106" s="558"/>
      <c r="AA106" s="559">
        <f t="shared" si="59"/>
        <v>0</v>
      </c>
      <c r="AB106" s="882"/>
      <c r="AC106" s="878"/>
      <c r="AD106" s="879"/>
      <c r="AE106" s="558"/>
    </row>
    <row r="107" spans="1:32" s="549" customFormat="1" ht="12.75" thickBot="1">
      <c r="A107" s="614" t="s">
        <v>588</v>
      </c>
      <c r="B107" s="948"/>
      <c r="C107" s="1198" t="s">
        <v>411</v>
      </c>
      <c r="D107" s="1199"/>
      <c r="E107" s="1199"/>
      <c r="F107" s="1200"/>
      <c r="G107" s="566">
        <f>SUM(G101:G106)</f>
        <v>0</v>
      </c>
      <c r="H107" s="477">
        <f t="shared" ref="H107:AD107" si="60">SUM(H101:H106)</f>
        <v>0</v>
      </c>
      <c r="I107" s="567">
        <f t="shared" si="60"/>
        <v>0</v>
      </c>
      <c r="J107" s="404">
        <f t="shared" si="60"/>
        <v>0</v>
      </c>
      <c r="K107" s="404">
        <f t="shared" si="60"/>
        <v>0</v>
      </c>
      <c r="L107" s="1071">
        <f t="shared" si="60"/>
        <v>0</v>
      </c>
      <c r="M107" s="566">
        <f>SUM(M101:M106)</f>
        <v>0</v>
      </c>
      <c r="N107" s="477">
        <f t="shared" si="60"/>
        <v>0</v>
      </c>
      <c r="O107" s="567">
        <f t="shared" si="60"/>
        <v>0</v>
      </c>
      <c r="P107" s="404">
        <f t="shared" si="60"/>
        <v>0</v>
      </c>
      <c r="Q107" s="391">
        <f t="shared" si="60"/>
        <v>0</v>
      </c>
      <c r="R107" s="566">
        <f t="shared" si="60"/>
        <v>0</v>
      </c>
      <c r="S107" s="566">
        <f t="shared" si="60"/>
        <v>0</v>
      </c>
      <c r="T107" s="566">
        <f t="shared" si="60"/>
        <v>0</v>
      </c>
      <c r="U107" s="600">
        <f t="shared" si="60"/>
        <v>0</v>
      </c>
      <c r="V107" s="598">
        <f t="shared" si="60"/>
        <v>0</v>
      </c>
      <c r="W107" s="598">
        <f t="shared" si="60"/>
        <v>0</v>
      </c>
      <c r="X107" s="598">
        <f t="shared" si="60"/>
        <v>0</v>
      </c>
      <c r="Y107" s="477">
        <f t="shared" si="60"/>
        <v>0</v>
      </c>
      <c r="Z107" s="566">
        <f t="shared" si="60"/>
        <v>0</v>
      </c>
      <c r="AA107" s="599">
        <f t="shared" si="60"/>
        <v>0</v>
      </c>
      <c r="AB107" s="597">
        <f t="shared" si="60"/>
        <v>0</v>
      </c>
      <c r="AC107" s="598">
        <f t="shared" si="60"/>
        <v>0</v>
      </c>
      <c r="AD107" s="477">
        <f t="shared" si="60"/>
        <v>0</v>
      </c>
      <c r="AE107" s="566">
        <f>SUM(AE101:AE106)</f>
        <v>0</v>
      </c>
    </row>
    <row r="108" spans="1:32" s="553" customFormat="1" ht="12.75" customHeight="1" thickBot="1">
      <c r="A108" s="618">
        <f>+A106+1</f>
        <v>80</v>
      </c>
      <c r="B108" s="946">
        <v>11</v>
      </c>
      <c r="C108" s="393" t="s">
        <v>19</v>
      </c>
      <c r="D108" s="1068" t="s">
        <v>19</v>
      </c>
      <c r="E108" s="1321" t="s">
        <v>19</v>
      </c>
      <c r="F108" s="1069" t="s">
        <v>19</v>
      </c>
      <c r="G108" s="540">
        <f>+H108+M108+N108+R108</f>
        <v>0</v>
      </c>
      <c r="H108" s="541">
        <f>+I108+J108+K108+L108</f>
        <v>0</v>
      </c>
      <c r="I108" s="875"/>
      <c r="J108" s="878"/>
      <c r="K108" s="878"/>
      <c r="L108" s="1070"/>
      <c r="M108" s="540"/>
      <c r="N108" s="541">
        <f>+O108+P108+Q108</f>
        <v>0</v>
      </c>
      <c r="O108" s="882"/>
      <c r="P108" s="878"/>
      <c r="Q108" s="879"/>
      <c r="R108" s="540"/>
      <c r="S108" s="540">
        <f>+T108+Z108+AA108+AE108</f>
        <v>0</v>
      </c>
      <c r="T108" s="541">
        <f>+U108+V108+W108+X108+Y108</f>
        <v>0</v>
      </c>
      <c r="U108" s="875"/>
      <c r="V108" s="878"/>
      <c r="W108" s="878"/>
      <c r="X108" s="878"/>
      <c r="Y108" s="879"/>
      <c r="Z108" s="540"/>
      <c r="AA108" s="541">
        <f>+AB108+AC108+AD108</f>
        <v>0</v>
      </c>
      <c r="AB108" s="882"/>
      <c r="AC108" s="878"/>
      <c r="AD108" s="879"/>
      <c r="AE108" s="540"/>
    </row>
    <row r="109" spans="1:32" s="549" customFormat="1" ht="12.75" thickBot="1">
      <c r="A109" s="614" t="s">
        <v>589</v>
      </c>
      <c r="B109" s="948"/>
      <c r="C109" s="1198" t="s">
        <v>412</v>
      </c>
      <c r="D109" s="1199"/>
      <c r="E109" s="1199"/>
      <c r="F109" s="1200"/>
      <c r="G109" s="566">
        <f t="shared" ref="G109:R109" si="61">SUM(G108:G108)</f>
        <v>0</v>
      </c>
      <c r="H109" s="477">
        <f t="shared" si="61"/>
        <v>0</v>
      </c>
      <c r="I109" s="567">
        <f t="shared" si="61"/>
        <v>0</v>
      </c>
      <c r="J109" s="404">
        <f t="shared" si="61"/>
        <v>0</v>
      </c>
      <c r="K109" s="404">
        <f t="shared" si="61"/>
        <v>0</v>
      </c>
      <c r="L109" s="1071">
        <f t="shared" si="61"/>
        <v>0</v>
      </c>
      <c r="M109" s="566">
        <f>SUM(M108:M108)</f>
        <v>0</v>
      </c>
      <c r="N109" s="477">
        <f t="shared" si="61"/>
        <v>0</v>
      </c>
      <c r="O109" s="567">
        <f t="shared" si="61"/>
        <v>0</v>
      </c>
      <c r="P109" s="404">
        <f t="shared" si="61"/>
        <v>0</v>
      </c>
      <c r="Q109" s="391">
        <f t="shared" si="61"/>
        <v>0</v>
      </c>
      <c r="R109" s="566">
        <f t="shared" si="61"/>
        <v>0</v>
      </c>
      <c r="S109" s="566">
        <f t="shared" ref="S109:AD109" si="62">SUM(S108:S108)</f>
        <v>0</v>
      </c>
      <c r="T109" s="566">
        <f t="shared" si="62"/>
        <v>0</v>
      </c>
      <c r="U109" s="600">
        <f t="shared" si="62"/>
        <v>0</v>
      </c>
      <c r="V109" s="598">
        <f t="shared" si="62"/>
        <v>0</v>
      </c>
      <c r="W109" s="598">
        <f t="shared" si="62"/>
        <v>0</v>
      </c>
      <c r="X109" s="598">
        <f t="shared" si="62"/>
        <v>0</v>
      </c>
      <c r="Y109" s="477">
        <f t="shared" si="62"/>
        <v>0</v>
      </c>
      <c r="Z109" s="566">
        <f t="shared" si="62"/>
        <v>0</v>
      </c>
      <c r="AA109" s="599">
        <f t="shared" si="62"/>
        <v>0</v>
      </c>
      <c r="AB109" s="597">
        <f t="shared" si="62"/>
        <v>0</v>
      </c>
      <c r="AC109" s="598">
        <f t="shared" si="62"/>
        <v>0</v>
      </c>
      <c r="AD109" s="477">
        <f t="shared" si="62"/>
        <v>0</v>
      </c>
      <c r="AE109" s="566">
        <f>SUM(AE108:AE108)</f>
        <v>0</v>
      </c>
    </row>
    <row r="110" spans="1:32" s="549" customFormat="1" ht="12.75" thickBot="1">
      <c r="A110" s="615" t="s">
        <v>23</v>
      </c>
      <c r="B110" s="949"/>
      <c r="C110" s="1195" t="s">
        <v>413</v>
      </c>
      <c r="D110" s="1196"/>
      <c r="E110" s="1196"/>
      <c r="F110" s="1197"/>
      <c r="G110" s="569">
        <f>+G100+G107+G109</f>
        <v>57839</v>
      </c>
      <c r="H110" s="569">
        <f>+H100+H107+H109</f>
        <v>35540</v>
      </c>
      <c r="I110" s="570">
        <f>+I100+I107+I109</f>
        <v>7540</v>
      </c>
      <c r="J110" s="571">
        <f>+J100+J107+J109</f>
        <v>20000</v>
      </c>
      <c r="K110" s="571">
        <f>+K100+K107+K109</f>
        <v>8000</v>
      </c>
      <c r="L110" s="1072">
        <f>+L100+L107+L109</f>
        <v>0</v>
      </c>
      <c r="M110" s="569">
        <f>+M100+M107+M109</f>
        <v>0</v>
      </c>
      <c r="N110" s="569">
        <f>+N100+N107+N109</f>
        <v>12299</v>
      </c>
      <c r="O110" s="570">
        <f>+O100+O107+O109</f>
        <v>2299</v>
      </c>
      <c r="P110" s="571">
        <f>+P100+P107+P109</f>
        <v>10000</v>
      </c>
      <c r="Q110" s="572">
        <f>+Q100+Q107+Q109</f>
        <v>0</v>
      </c>
      <c r="R110" s="569">
        <f>+R100+R107+R109</f>
        <v>10000</v>
      </c>
      <c r="S110" s="569">
        <f>+S100+S107+S109</f>
        <v>-22139</v>
      </c>
      <c r="T110" s="569">
        <f>+T100+T107+T109</f>
        <v>-17639</v>
      </c>
      <c r="U110" s="601">
        <f>+U100+U107+U109</f>
        <v>0</v>
      </c>
      <c r="V110" s="602">
        <f>+V100+V107+V109</f>
        <v>0</v>
      </c>
      <c r="W110" s="602">
        <f>+W100+W107+W109</f>
        <v>-21664</v>
      </c>
      <c r="X110" s="602">
        <f>+X100+X107+X109</f>
        <v>0</v>
      </c>
      <c r="Y110" s="603">
        <f>+Y100+Y107+Y109</f>
        <v>4025</v>
      </c>
      <c r="Z110" s="569">
        <f>+Z100+Z107+Z109</f>
        <v>0</v>
      </c>
      <c r="AA110" s="569">
        <f>+AA100+AA107+AA109</f>
        <v>-4500</v>
      </c>
      <c r="AB110" s="601">
        <f>+AB100+AB107+AB109</f>
        <v>-500</v>
      </c>
      <c r="AC110" s="602">
        <f>+AC100+AC107+AC109</f>
        <v>-4000</v>
      </c>
      <c r="AD110" s="603">
        <f>+AD100+AD107+AD109</f>
        <v>0</v>
      </c>
      <c r="AE110" s="569">
        <f>+AE100+AE107+AE109</f>
        <v>0</v>
      </c>
    </row>
    <row r="111" spans="1:32" ht="12.75" thickBot="1">
      <c r="A111" s="940"/>
      <c r="B111" s="1073"/>
      <c r="C111" s="1074"/>
      <c r="D111" s="1075"/>
      <c r="E111" s="1323"/>
      <c r="F111" s="565"/>
      <c r="G111" s="574"/>
      <c r="H111" s="575"/>
      <c r="I111" s="576"/>
      <c r="J111" s="577"/>
      <c r="K111" s="577"/>
      <c r="L111" s="1076"/>
      <c r="M111" s="574"/>
      <c r="N111" s="575"/>
      <c r="O111" s="576"/>
      <c r="P111" s="577"/>
      <c r="Q111" s="578"/>
      <c r="R111" s="574"/>
      <c r="S111" s="574"/>
      <c r="T111" s="575"/>
      <c r="U111" s="576"/>
      <c r="V111" s="577"/>
      <c r="W111" s="577"/>
      <c r="X111" s="577"/>
      <c r="Y111" s="578"/>
      <c r="Z111" s="574"/>
      <c r="AA111" s="575"/>
      <c r="AB111" s="576"/>
      <c r="AC111" s="577"/>
      <c r="AD111" s="578"/>
      <c r="AE111" s="574"/>
    </row>
    <row r="112" spans="1:32" s="564" customFormat="1">
      <c r="A112" s="619">
        <f>A108+1</f>
        <v>81</v>
      </c>
      <c r="B112" s="945">
        <v>12</v>
      </c>
      <c r="C112" s="398" t="s">
        <v>667</v>
      </c>
      <c r="D112" s="1077" t="s">
        <v>666</v>
      </c>
      <c r="E112" s="1324" t="s">
        <v>1225</v>
      </c>
      <c r="F112" s="1059" t="s">
        <v>995</v>
      </c>
      <c r="G112" s="538">
        <f t="shared" ref="G112:G118" si="63">+H112+M112+N112+R112</f>
        <v>0</v>
      </c>
      <c r="H112" s="539">
        <f t="shared" ref="H112:H118" si="64">+I112+J112+K112+L112</f>
        <v>0</v>
      </c>
      <c r="I112" s="884"/>
      <c r="J112" s="885"/>
      <c r="K112" s="885"/>
      <c r="L112" s="1078"/>
      <c r="M112" s="538"/>
      <c r="N112" s="539">
        <f t="shared" ref="N112:N118" si="65">+O112+P112+Q112</f>
        <v>0</v>
      </c>
      <c r="O112" s="884"/>
      <c r="P112" s="885"/>
      <c r="Q112" s="886"/>
      <c r="R112" s="538"/>
      <c r="S112" s="538">
        <f t="shared" ref="S112:S118" si="66">+T112+Z112+AA112+AE112</f>
        <v>0</v>
      </c>
      <c r="T112" s="539">
        <f t="shared" ref="T112:T118" si="67">+U112+V112+W112+X112+Y112</f>
        <v>0</v>
      </c>
      <c r="U112" s="884"/>
      <c r="V112" s="885"/>
      <c r="W112" s="885"/>
      <c r="X112" s="885"/>
      <c r="Y112" s="886"/>
      <c r="Z112" s="538"/>
      <c r="AA112" s="539">
        <f t="shared" ref="AA112:AA118" si="68">+AB112+AC112+AD112</f>
        <v>0</v>
      </c>
      <c r="AB112" s="884"/>
      <c r="AC112" s="885"/>
      <c r="AD112" s="886"/>
      <c r="AE112" s="538"/>
    </row>
    <row r="113" spans="1:32" s="1118" customFormat="1">
      <c r="A113" s="1192" t="str">
        <f>+$C$202&amp;". "&amp;$F$202</f>
        <v>10. HKÖH kiadásainak felülvizsgálata (köztisztviselői, fizikai üres álláshelyek részleges zárolása)</v>
      </c>
      <c r="B113" s="1193"/>
      <c r="C113" s="1193"/>
      <c r="D113" s="1193"/>
      <c r="E113" s="1193"/>
      <c r="F113" s="1194"/>
      <c r="G113" s="1111">
        <f t="shared" si="63"/>
        <v>0</v>
      </c>
      <c r="H113" s="1112">
        <f t="shared" si="64"/>
        <v>0</v>
      </c>
      <c r="I113" s="931"/>
      <c r="J113" s="932"/>
      <c r="K113" s="932"/>
      <c r="L113" s="1113"/>
      <c r="M113" s="1111"/>
      <c r="N113" s="1112">
        <f t="shared" si="65"/>
        <v>0</v>
      </c>
      <c r="O113" s="931"/>
      <c r="P113" s="932"/>
      <c r="Q113" s="933"/>
      <c r="R113" s="1111"/>
      <c r="S113" s="1111">
        <f t="shared" si="66"/>
        <v>-17594</v>
      </c>
      <c r="T113" s="1112">
        <f t="shared" si="67"/>
        <v>-17594</v>
      </c>
      <c r="U113" s="931">
        <f>-14381-696</f>
        <v>-15077</v>
      </c>
      <c r="V113" s="1119">
        <v>-2517</v>
      </c>
      <c r="W113" s="1119"/>
      <c r="X113" s="1119"/>
      <c r="Y113" s="1120"/>
      <c r="Z113" s="1111"/>
      <c r="AA113" s="1112">
        <f t="shared" si="68"/>
        <v>0</v>
      </c>
      <c r="AB113" s="1121"/>
      <c r="AC113" s="1119"/>
      <c r="AD113" s="1120"/>
      <c r="AE113" s="1111"/>
      <c r="AF113" s="1117">
        <f>-G113+S113</f>
        <v>-17594</v>
      </c>
    </row>
    <row r="114" spans="1:32" s="553" customFormat="1">
      <c r="A114" s="618">
        <f>+A112+1</f>
        <v>82</v>
      </c>
      <c r="B114" s="946">
        <v>12</v>
      </c>
      <c r="C114" s="396" t="s">
        <v>1037</v>
      </c>
      <c r="D114" s="1062" t="s">
        <v>1255</v>
      </c>
      <c r="E114" s="1320" t="s">
        <v>1225</v>
      </c>
      <c r="F114" s="1065" t="s">
        <v>1248</v>
      </c>
      <c r="G114" s="558">
        <f t="shared" si="63"/>
        <v>0</v>
      </c>
      <c r="H114" s="559">
        <f t="shared" si="64"/>
        <v>0</v>
      </c>
      <c r="I114" s="882"/>
      <c r="J114" s="878"/>
      <c r="K114" s="878"/>
      <c r="L114" s="1070"/>
      <c r="M114" s="558"/>
      <c r="N114" s="559">
        <f t="shared" si="65"/>
        <v>0</v>
      </c>
      <c r="O114" s="882"/>
      <c r="P114" s="878"/>
      <c r="Q114" s="879"/>
      <c r="R114" s="558"/>
      <c r="S114" s="558">
        <f t="shared" si="66"/>
        <v>0</v>
      </c>
      <c r="T114" s="559">
        <f t="shared" si="67"/>
        <v>0</v>
      </c>
      <c r="U114" s="882"/>
      <c r="V114" s="878"/>
      <c r="W114" s="878"/>
      <c r="X114" s="878"/>
      <c r="Y114" s="879"/>
      <c r="Z114" s="558"/>
      <c r="AA114" s="559">
        <f t="shared" si="68"/>
        <v>0</v>
      </c>
      <c r="AB114" s="882"/>
      <c r="AC114" s="878"/>
      <c r="AD114" s="879"/>
      <c r="AE114" s="558"/>
    </row>
    <row r="115" spans="1:32">
      <c r="A115" s="618">
        <f>+A114+1</f>
        <v>83</v>
      </c>
      <c r="B115" s="946">
        <v>13</v>
      </c>
      <c r="C115" s="396" t="s">
        <v>701</v>
      </c>
      <c r="D115" s="1062" t="s">
        <v>700</v>
      </c>
      <c r="E115" s="1320" t="s">
        <v>1229</v>
      </c>
      <c r="F115" s="1065" t="s">
        <v>776</v>
      </c>
      <c r="G115" s="558">
        <f t="shared" si="63"/>
        <v>0</v>
      </c>
      <c r="H115" s="559">
        <f t="shared" si="64"/>
        <v>0</v>
      </c>
      <c r="I115" s="882"/>
      <c r="J115" s="878"/>
      <c r="K115" s="878"/>
      <c r="L115" s="1070"/>
      <c r="M115" s="558"/>
      <c r="N115" s="559">
        <f t="shared" si="65"/>
        <v>0</v>
      </c>
      <c r="O115" s="882"/>
      <c r="P115" s="878"/>
      <c r="Q115" s="879"/>
      <c r="R115" s="558"/>
      <c r="S115" s="558">
        <f t="shared" si="66"/>
        <v>0</v>
      </c>
      <c r="T115" s="559">
        <f t="shared" si="67"/>
        <v>0</v>
      </c>
      <c r="U115" s="1079"/>
      <c r="V115" s="878"/>
      <c r="W115" s="878"/>
      <c r="X115" s="878"/>
      <c r="Y115" s="879"/>
      <c r="Z115" s="558"/>
      <c r="AA115" s="559">
        <f t="shared" si="68"/>
        <v>0</v>
      </c>
      <c r="AB115" s="882"/>
      <c r="AC115" s="878"/>
      <c r="AD115" s="879"/>
      <c r="AE115" s="558"/>
    </row>
    <row r="116" spans="1:32">
      <c r="A116" s="618">
        <f>+A115+1</f>
        <v>84</v>
      </c>
      <c r="B116" s="946">
        <v>13</v>
      </c>
      <c r="C116" s="396" t="s">
        <v>701</v>
      </c>
      <c r="D116" s="1062" t="s">
        <v>700</v>
      </c>
      <c r="E116" s="1320" t="s">
        <v>1229</v>
      </c>
      <c r="F116" s="1065" t="s">
        <v>1040</v>
      </c>
      <c r="G116" s="558">
        <f t="shared" si="63"/>
        <v>0</v>
      </c>
      <c r="H116" s="559">
        <f t="shared" si="64"/>
        <v>0</v>
      </c>
      <c r="I116" s="882"/>
      <c r="J116" s="878"/>
      <c r="K116" s="878"/>
      <c r="L116" s="1070"/>
      <c r="M116" s="558"/>
      <c r="N116" s="559">
        <f t="shared" si="65"/>
        <v>0</v>
      </c>
      <c r="O116" s="882"/>
      <c r="P116" s="878"/>
      <c r="Q116" s="879"/>
      <c r="R116" s="558"/>
      <c r="S116" s="558">
        <f t="shared" si="66"/>
        <v>0</v>
      </c>
      <c r="T116" s="559">
        <f t="shared" si="67"/>
        <v>0</v>
      </c>
      <c r="U116" s="1079"/>
      <c r="V116" s="878"/>
      <c r="W116" s="878"/>
      <c r="X116" s="878"/>
      <c r="Y116" s="879"/>
      <c r="Z116" s="558"/>
      <c r="AA116" s="559">
        <f t="shared" si="68"/>
        <v>0</v>
      </c>
      <c r="AB116" s="882"/>
      <c r="AC116" s="878"/>
      <c r="AD116" s="879"/>
      <c r="AE116" s="558"/>
    </row>
    <row r="117" spans="1:32" s="1118" customFormat="1">
      <c r="A117" s="1192" t="str">
        <f>+$C$202&amp;". "&amp;$F$202</f>
        <v>10. HKÖH kiadásainak felülvizsgálata (köztisztviselői, fizikai üres álláshelyek részleges zárolása)</v>
      </c>
      <c r="B117" s="1193"/>
      <c r="C117" s="1193"/>
      <c r="D117" s="1193"/>
      <c r="E117" s="1193"/>
      <c r="F117" s="1194"/>
      <c r="G117" s="1111">
        <f t="shared" ref="G117" si="69">+H117+M117+N117+R117</f>
        <v>0</v>
      </c>
      <c r="H117" s="1112">
        <f t="shared" ref="H117" si="70">+I117+J117+K117+L117</f>
        <v>0</v>
      </c>
      <c r="I117" s="931"/>
      <c r="J117" s="932"/>
      <c r="K117" s="932"/>
      <c r="L117" s="1113"/>
      <c r="M117" s="1111"/>
      <c r="N117" s="1112">
        <f t="shared" ref="N117" si="71">+O117+P117+Q117</f>
        <v>0</v>
      </c>
      <c r="O117" s="931"/>
      <c r="P117" s="932"/>
      <c r="Q117" s="933"/>
      <c r="R117" s="1111"/>
      <c r="S117" s="1111">
        <f t="shared" ref="S117" si="72">+T117+Z117+AA117+AE117</f>
        <v>-2996</v>
      </c>
      <c r="T117" s="1112">
        <f t="shared" ref="T117" si="73">+U117+V117+W117+X117+Y117</f>
        <v>-2996</v>
      </c>
      <c r="U117" s="931">
        <f>-2493-50</f>
        <v>-2543</v>
      </c>
      <c r="V117" s="1119">
        <v>-453</v>
      </c>
      <c r="W117" s="1119"/>
      <c r="X117" s="1119"/>
      <c r="Y117" s="1120"/>
      <c r="Z117" s="1111"/>
      <c r="AA117" s="1112">
        <f t="shared" ref="AA117" si="74">+AB117+AC117+AD117</f>
        <v>0</v>
      </c>
      <c r="AB117" s="1121"/>
      <c r="AC117" s="1119"/>
      <c r="AD117" s="1120"/>
      <c r="AE117" s="1111"/>
      <c r="AF117" s="1117">
        <f>-G117+S117</f>
        <v>-2996</v>
      </c>
    </row>
    <row r="118" spans="1:32" ht="12.75" thickBot="1">
      <c r="A118" s="618">
        <f>+A116+1</f>
        <v>85</v>
      </c>
      <c r="B118" s="946">
        <v>13</v>
      </c>
      <c r="C118" s="393" t="s">
        <v>1002</v>
      </c>
      <c r="D118" s="1068" t="s">
        <v>1003</v>
      </c>
      <c r="E118" s="1321" t="s">
        <v>1225</v>
      </c>
      <c r="F118" s="1069" t="s">
        <v>995</v>
      </c>
      <c r="G118" s="558">
        <f t="shared" si="63"/>
        <v>0</v>
      </c>
      <c r="H118" s="559">
        <f t="shared" si="64"/>
        <v>0</v>
      </c>
      <c r="I118" s="882"/>
      <c r="J118" s="878"/>
      <c r="K118" s="878"/>
      <c r="L118" s="1070"/>
      <c r="M118" s="558"/>
      <c r="N118" s="559">
        <f t="shared" si="65"/>
        <v>0</v>
      </c>
      <c r="O118" s="882"/>
      <c r="P118" s="878"/>
      <c r="Q118" s="879"/>
      <c r="R118" s="558"/>
      <c r="S118" s="540">
        <f t="shared" si="66"/>
        <v>0</v>
      </c>
      <c r="T118" s="541">
        <f t="shared" si="67"/>
        <v>0</v>
      </c>
      <c r="U118" s="1079"/>
      <c r="V118" s="878"/>
      <c r="W118" s="878"/>
      <c r="X118" s="878"/>
      <c r="Y118" s="879"/>
      <c r="Z118" s="558"/>
      <c r="AA118" s="541">
        <f t="shared" si="68"/>
        <v>0</v>
      </c>
      <c r="AB118" s="882"/>
      <c r="AC118" s="878"/>
      <c r="AD118" s="879"/>
      <c r="AE118" s="558"/>
    </row>
    <row r="119" spans="1:32" s="549" customFormat="1" ht="12.75" thickBot="1">
      <c r="A119" s="614" t="s">
        <v>590</v>
      </c>
      <c r="B119" s="948"/>
      <c r="C119" s="1198" t="s">
        <v>869</v>
      </c>
      <c r="D119" s="1199"/>
      <c r="E119" s="1199"/>
      <c r="F119" s="1200"/>
      <c r="G119" s="566">
        <f t="shared" ref="G119:AE119" si="75">SUM(G112:G118)</f>
        <v>0</v>
      </c>
      <c r="H119" s="477">
        <f t="shared" si="75"/>
        <v>0</v>
      </c>
      <c r="I119" s="567">
        <f t="shared" si="75"/>
        <v>0</v>
      </c>
      <c r="J119" s="404">
        <f t="shared" si="75"/>
        <v>0</v>
      </c>
      <c r="K119" s="404">
        <f t="shared" si="75"/>
        <v>0</v>
      </c>
      <c r="L119" s="1071">
        <f t="shared" si="75"/>
        <v>0</v>
      </c>
      <c r="M119" s="566">
        <f t="shared" si="75"/>
        <v>0</v>
      </c>
      <c r="N119" s="477">
        <f t="shared" si="75"/>
        <v>0</v>
      </c>
      <c r="O119" s="567">
        <f t="shared" si="75"/>
        <v>0</v>
      </c>
      <c r="P119" s="404">
        <f t="shared" si="75"/>
        <v>0</v>
      </c>
      <c r="Q119" s="391">
        <f t="shared" si="75"/>
        <v>0</v>
      </c>
      <c r="R119" s="566">
        <f t="shared" si="75"/>
        <v>0</v>
      </c>
      <c r="S119" s="566">
        <f t="shared" si="75"/>
        <v>-20590</v>
      </c>
      <c r="T119" s="596">
        <f t="shared" si="75"/>
        <v>-20590</v>
      </c>
      <c r="U119" s="597">
        <f t="shared" si="75"/>
        <v>-17620</v>
      </c>
      <c r="V119" s="598">
        <f t="shared" si="75"/>
        <v>-2970</v>
      </c>
      <c r="W119" s="598">
        <f t="shared" si="75"/>
        <v>0</v>
      </c>
      <c r="X119" s="598">
        <f t="shared" si="75"/>
        <v>0</v>
      </c>
      <c r="Y119" s="477">
        <f t="shared" si="75"/>
        <v>0</v>
      </c>
      <c r="Z119" s="566">
        <f t="shared" si="75"/>
        <v>0</v>
      </c>
      <c r="AA119" s="599">
        <f t="shared" si="75"/>
        <v>0</v>
      </c>
      <c r="AB119" s="597">
        <f t="shared" si="75"/>
        <v>0</v>
      </c>
      <c r="AC119" s="598">
        <f t="shared" si="75"/>
        <v>0</v>
      </c>
      <c r="AD119" s="477">
        <f t="shared" si="75"/>
        <v>0</v>
      </c>
      <c r="AE119" s="566">
        <f t="shared" si="75"/>
        <v>0</v>
      </c>
    </row>
    <row r="120" spans="1:32" s="564" customFormat="1">
      <c r="A120" s="1002">
        <f>+A118+1</f>
        <v>86</v>
      </c>
      <c r="B120" s="951">
        <v>14</v>
      </c>
      <c r="C120" s="398" t="s">
        <v>667</v>
      </c>
      <c r="D120" s="1077" t="s">
        <v>666</v>
      </c>
      <c r="E120" s="1324" t="s">
        <v>1238</v>
      </c>
      <c r="F120" s="1059" t="s">
        <v>416</v>
      </c>
      <c r="G120" s="538">
        <f>+H120+M120+N120+R120</f>
        <v>0</v>
      </c>
      <c r="H120" s="539">
        <f>+I120+J120+K120+L120</f>
        <v>0</v>
      </c>
      <c r="I120" s="884"/>
      <c r="J120" s="885"/>
      <c r="K120" s="885"/>
      <c r="L120" s="1078"/>
      <c r="M120" s="538"/>
      <c r="N120" s="539">
        <f>+O120+P120+Q120</f>
        <v>0</v>
      </c>
      <c r="O120" s="884"/>
      <c r="P120" s="885"/>
      <c r="Q120" s="886"/>
      <c r="R120" s="538"/>
      <c r="S120" s="538">
        <f>+T120+Z120+AA120+AE120</f>
        <v>0</v>
      </c>
      <c r="T120" s="539">
        <f>+U120+V120+W120+Y120</f>
        <v>0</v>
      </c>
      <c r="U120" s="884"/>
      <c r="V120" s="885"/>
      <c r="W120" s="885"/>
      <c r="X120" s="885"/>
      <c r="Y120" s="886"/>
      <c r="Z120" s="538"/>
      <c r="AA120" s="539">
        <f>+AB120+AC120+AD120</f>
        <v>0</v>
      </c>
      <c r="AB120" s="1080"/>
      <c r="AC120" s="1081"/>
      <c r="AD120" s="1082"/>
      <c r="AE120" s="538"/>
    </row>
    <row r="121" spans="1:32" s="564" customFormat="1">
      <c r="A121" s="618">
        <f>+A120+1</f>
        <v>87</v>
      </c>
      <c r="B121" s="946">
        <v>15</v>
      </c>
      <c r="C121" s="393" t="s">
        <v>1073</v>
      </c>
      <c r="D121" s="1068" t="s">
        <v>732</v>
      </c>
      <c r="E121" s="1321" t="s">
        <v>1225</v>
      </c>
      <c r="F121" s="1069" t="s">
        <v>647</v>
      </c>
      <c r="G121" s="558">
        <f>+H121+M121+N121+R121</f>
        <v>0</v>
      </c>
      <c r="H121" s="559">
        <f>+I121+J121+K121+L121</f>
        <v>0</v>
      </c>
      <c r="I121" s="882"/>
      <c r="J121" s="878"/>
      <c r="K121" s="878"/>
      <c r="L121" s="1070"/>
      <c r="M121" s="558"/>
      <c r="N121" s="559">
        <f>+O121+P121+Q121</f>
        <v>0</v>
      </c>
      <c r="O121" s="882"/>
      <c r="P121" s="878"/>
      <c r="Q121" s="879"/>
      <c r="R121" s="558"/>
      <c r="S121" s="540">
        <f>+T121+Z121+AA121+AE121</f>
        <v>0</v>
      </c>
      <c r="T121" s="541">
        <f>+U121+V121+W121+X121+Y121</f>
        <v>0</v>
      </c>
      <c r="U121" s="882"/>
      <c r="V121" s="878"/>
      <c r="W121" s="878"/>
      <c r="X121" s="878"/>
      <c r="Y121" s="879"/>
      <c r="Z121" s="558"/>
      <c r="AA121" s="541">
        <f>+AB121+AC121+AD121</f>
        <v>0</v>
      </c>
      <c r="AB121" s="882"/>
      <c r="AC121" s="878"/>
      <c r="AD121" s="879"/>
      <c r="AE121" s="558"/>
    </row>
    <row r="122" spans="1:32" s="564" customFormat="1" ht="12.75" thickBot="1">
      <c r="A122" s="618">
        <f>+A121+1</f>
        <v>88</v>
      </c>
      <c r="B122" s="946">
        <v>16</v>
      </c>
      <c r="C122" s="393" t="s">
        <v>734</v>
      </c>
      <c r="D122" s="1068" t="s">
        <v>735</v>
      </c>
      <c r="E122" s="1321" t="s">
        <v>1225</v>
      </c>
      <c r="F122" s="1069" t="s">
        <v>660</v>
      </c>
      <c r="G122" s="558">
        <f>+H122+M122+N122+R122</f>
        <v>0</v>
      </c>
      <c r="H122" s="559">
        <f>+I122+J122+K122+L122</f>
        <v>0</v>
      </c>
      <c r="I122" s="882"/>
      <c r="J122" s="878"/>
      <c r="K122" s="878"/>
      <c r="L122" s="1070"/>
      <c r="M122" s="558"/>
      <c r="N122" s="559">
        <f>+O122+P122+Q122</f>
        <v>0</v>
      </c>
      <c r="O122" s="882"/>
      <c r="P122" s="878"/>
      <c r="Q122" s="879"/>
      <c r="R122" s="558"/>
      <c r="S122" s="558">
        <f>+T122+Z122+AA122+AE122</f>
        <v>0</v>
      </c>
      <c r="T122" s="559">
        <f>+U122+V122+W122+Y122</f>
        <v>0</v>
      </c>
      <c r="U122" s="882"/>
      <c r="V122" s="878"/>
      <c r="W122" s="878"/>
      <c r="X122" s="878"/>
      <c r="Y122" s="879"/>
      <c r="Z122" s="558"/>
      <c r="AA122" s="559">
        <f>+AB122+AC122+AD122</f>
        <v>0</v>
      </c>
      <c r="AB122" s="934"/>
      <c r="AC122" s="935"/>
      <c r="AD122" s="936"/>
      <c r="AE122" s="558"/>
    </row>
    <row r="123" spans="1:32" s="549" customFormat="1" ht="12.75" thickBot="1">
      <c r="A123" s="614" t="s">
        <v>632</v>
      </c>
      <c r="B123" s="948"/>
      <c r="C123" s="1198" t="s">
        <v>870</v>
      </c>
      <c r="D123" s="1199"/>
      <c r="E123" s="1199"/>
      <c r="F123" s="1200"/>
      <c r="G123" s="566">
        <f>SUM(G120:G122)</f>
        <v>0</v>
      </c>
      <c r="H123" s="477">
        <f t="shared" ref="H123:R123" si="76">SUM(H120:H122)</f>
        <v>0</v>
      </c>
      <c r="I123" s="567">
        <f t="shared" si="76"/>
        <v>0</v>
      </c>
      <c r="J123" s="404">
        <f t="shared" si="76"/>
        <v>0</v>
      </c>
      <c r="K123" s="404">
        <f t="shared" si="76"/>
        <v>0</v>
      </c>
      <c r="L123" s="1071">
        <f t="shared" si="76"/>
        <v>0</v>
      </c>
      <c r="M123" s="566">
        <f>SUM(M120:M122)</f>
        <v>0</v>
      </c>
      <c r="N123" s="477">
        <f t="shared" si="76"/>
        <v>0</v>
      </c>
      <c r="O123" s="567">
        <f t="shared" si="76"/>
        <v>0</v>
      </c>
      <c r="P123" s="404">
        <f t="shared" si="76"/>
        <v>0</v>
      </c>
      <c r="Q123" s="391">
        <f t="shared" si="76"/>
        <v>0</v>
      </c>
      <c r="R123" s="566">
        <f t="shared" si="76"/>
        <v>0</v>
      </c>
      <c r="S123" s="566">
        <f>SUM(S120:S122)</f>
        <v>0</v>
      </c>
      <c r="T123" s="596">
        <f t="shared" ref="T123:AD123" si="77">SUM(T120:T122)</f>
        <v>0</v>
      </c>
      <c r="U123" s="597">
        <f t="shared" si="77"/>
        <v>0</v>
      </c>
      <c r="V123" s="598">
        <f t="shared" si="77"/>
        <v>0</v>
      </c>
      <c r="W123" s="598">
        <f t="shared" si="77"/>
        <v>0</v>
      </c>
      <c r="X123" s="598">
        <f t="shared" si="77"/>
        <v>0</v>
      </c>
      <c r="Y123" s="477">
        <f t="shared" si="77"/>
        <v>0</v>
      </c>
      <c r="Z123" s="566">
        <f t="shared" si="77"/>
        <v>0</v>
      </c>
      <c r="AA123" s="599">
        <f t="shared" si="77"/>
        <v>0</v>
      </c>
      <c r="AB123" s="597">
        <f t="shared" si="77"/>
        <v>0</v>
      </c>
      <c r="AC123" s="598">
        <f t="shared" si="77"/>
        <v>0</v>
      </c>
      <c r="AD123" s="477">
        <f t="shared" si="77"/>
        <v>0</v>
      </c>
      <c r="AE123" s="566">
        <f>SUM(AE120:AE122)</f>
        <v>0</v>
      </c>
    </row>
    <row r="124" spans="1:32">
      <c r="A124" s="618">
        <f>+A122+1</f>
        <v>89</v>
      </c>
      <c r="B124" s="945">
        <v>17</v>
      </c>
      <c r="C124" s="393" t="s">
        <v>741</v>
      </c>
      <c r="D124" s="1068" t="s">
        <v>740</v>
      </c>
      <c r="E124" s="1321" t="s">
        <v>1225</v>
      </c>
      <c r="F124" s="1069" t="s">
        <v>658</v>
      </c>
      <c r="G124" s="540">
        <f t="shared" ref="G124:G130" si="78">+H124+M124+N124+R124</f>
        <v>0</v>
      </c>
      <c r="H124" s="541">
        <f t="shared" ref="H124:H130" si="79">+I124+J124+K124+L124</f>
        <v>0</v>
      </c>
      <c r="I124" s="875"/>
      <c r="J124" s="876"/>
      <c r="K124" s="876"/>
      <c r="L124" s="1060"/>
      <c r="M124" s="540"/>
      <c r="N124" s="541">
        <f t="shared" ref="N124:N130" si="80">+O124+P124+Q124</f>
        <v>0</v>
      </c>
      <c r="O124" s="875"/>
      <c r="P124" s="876"/>
      <c r="Q124" s="877"/>
      <c r="R124" s="540"/>
      <c r="S124" s="538">
        <f t="shared" ref="S124:S130" si="81">+T124+Z124+AA124+AE124</f>
        <v>0</v>
      </c>
      <c r="T124" s="539">
        <f t="shared" ref="T124:T130" si="82">+U124+V124+W124+X124+Y124</f>
        <v>0</v>
      </c>
      <c r="U124" s="884"/>
      <c r="V124" s="885"/>
      <c r="W124" s="885"/>
      <c r="X124" s="885"/>
      <c r="Y124" s="886"/>
      <c r="Z124" s="540"/>
      <c r="AA124" s="539">
        <f t="shared" ref="AA124:AA130" si="83">+AB124+AC124+AD124</f>
        <v>0</v>
      </c>
      <c r="AB124" s="884"/>
      <c r="AC124" s="885"/>
      <c r="AD124" s="886"/>
      <c r="AE124" s="540"/>
    </row>
    <row r="125" spans="1:32">
      <c r="A125" s="618">
        <f t="shared" ref="A125:A130" si="84">+A124+1</f>
        <v>90</v>
      </c>
      <c r="B125" s="945">
        <v>17</v>
      </c>
      <c r="C125" s="393" t="s">
        <v>741</v>
      </c>
      <c r="D125" s="1068" t="s">
        <v>740</v>
      </c>
      <c r="E125" s="1321" t="s">
        <v>1225</v>
      </c>
      <c r="F125" s="1069" t="s">
        <v>659</v>
      </c>
      <c r="G125" s="540">
        <f t="shared" si="78"/>
        <v>0</v>
      </c>
      <c r="H125" s="541">
        <f t="shared" si="79"/>
        <v>0</v>
      </c>
      <c r="I125" s="875"/>
      <c r="J125" s="876"/>
      <c r="K125" s="876"/>
      <c r="L125" s="1060"/>
      <c r="M125" s="540"/>
      <c r="N125" s="541">
        <f t="shared" si="80"/>
        <v>0</v>
      </c>
      <c r="O125" s="875"/>
      <c r="P125" s="876"/>
      <c r="Q125" s="877"/>
      <c r="R125" s="540"/>
      <c r="S125" s="540">
        <f t="shared" si="81"/>
        <v>0</v>
      </c>
      <c r="T125" s="541">
        <f t="shared" si="82"/>
        <v>0</v>
      </c>
      <c r="U125" s="882"/>
      <c r="V125" s="878"/>
      <c r="W125" s="878"/>
      <c r="X125" s="878"/>
      <c r="Y125" s="879"/>
      <c r="Z125" s="540"/>
      <c r="AA125" s="541">
        <f t="shared" si="83"/>
        <v>0</v>
      </c>
      <c r="AB125" s="882"/>
      <c r="AC125" s="878"/>
      <c r="AD125" s="879"/>
      <c r="AE125" s="540"/>
    </row>
    <row r="126" spans="1:32">
      <c r="A126" s="618">
        <f t="shared" si="84"/>
        <v>91</v>
      </c>
      <c r="B126" s="945">
        <v>17</v>
      </c>
      <c r="C126" s="393" t="s">
        <v>741</v>
      </c>
      <c r="D126" s="1068" t="s">
        <v>740</v>
      </c>
      <c r="E126" s="1321" t="s">
        <v>1225</v>
      </c>
      <c r="F126" s="1069" t="s">
        <v>738</v>
      </c>
      <c r="G126" s="540">
        <f t="shared" si="78"/>
        <v>0</v>
      </c>
      <c r="H126" s="541">
        <f t="shared" si="79"/>
        <v>0</v>
      </c>
      <c r="I126" s="875"/>
      <c r="J126" s="876"/>
      <c r="K126" s="876"/>
      <c r="L126" s="1060"/>
      <c r="M126" s="540"/>
      <c r="N126" s="541">
        <f t="shared" si="80"/>
        <v>0</v>
      </c>
      <c r="O126" s="875"/>
      <c r="P126" s="876"/>
      <c r="Q126" s="877"/>
      <c r="R126" s="540"/>
      <c r="S126" s="540">
        <f t="shared" si="81"/>
        <v>0</v>
      </c>
      <c r="T126" s="541">
        <f t="shared" si="82"/>
        <v>0</v>
      </c>
      <c r="U126" s="882"/>
      <c r="V126" s="878"/>
      <c r="W126" s="878"/>
      <c r="X126" s="878"/>
      <c r="Y126" s="879"/>
      <c r="Z126" s="540"/>
      <c r="AA126" s="541">
        <f t="shared" si="83"/>
        <v>0</v>
      </c>
      <c r="AB126" s="882"/>
      <c r="AC126" s="878"/>
      <c r="AD126" s="879"/>
      <c r="AE126" s="540"/>
    </row>
    <row r="127" spans="1:32">
      <c r="A127" s="618">
        <f t="shared" si="84"/>
        <v>92</v>
      </c>
      <c r="B127" s="945">
        <v>17</v>
      </c>
      <c r="C127" s="393" t="s">
        <v>741</v>
      </c>
      <c r="D127" s="1068" t="s">
        <v>740</v>
      </c>
      <c r="E127" s="1321" t="s">
        <v>1225</v>
      </c>
      <c r="F127" s="1069" t="s">
        <v>739</v>
      </c>
      <c r="G127" s="540">
        <f t="shared" si="78"/>
        <v>0</v>
      </c>
      <c r="H127" s="541">
        <f t="shared" si="79"/>
        <v>0</v>
      </c>
      <c r="I127" s="875"/>
      <c r="J127" s="876"/>
      <c r="K127" s="876"/>
      <c r="L127" s="1060"/>
      <c r="M127" s="540"/>
      <c r="N127" s="541">
        <f t="shared" si="80"/>
        <v>0</v>
      </c>
      <c r="O127" s="875"/>
      <c r="P127" s="876"/>
      <c r="Q127" s="877"/>
      <c r="R127" s="540"/>
      <c r="S127" s="540">
        <f t="shared" si="81"/>
        <v>0</v>
      </c>
      <c r="T127" s="541">
        <f t="shared" si="82"/>
        <v>0</v>
      </c>
      <c r="U127" s="882"/>
      <c r="V127" s="878"/>
      <c r="W127" s="878"/>
      <c r="X127" s="878"/>
      <c r="Y127" s="879"/>
      <c r="Z127" s="540"/>
      <c r="AA127" s="541">
        <f t="shared" si="83"/>
        <v>0</v>
      </c>
      <c r="AB127" s="882"/>
      <c r="AC127" s="878"/>
      <c r="AD127" s="879"/>
      <c r="AE127" s="540"/>
    </row>
    <row r="128" spans="1:32">
      <c r="A128" s="618">
        <f t="shared" si="84"/>
        <v>93</v>
      </c>
      <c r="B128" s="945">
        <v>17</v>
      </c>
      <c r="C128" s="393" t="s">
        <v>673</v>
      </c>
      <c r="D128" s="1068" t="s">
        <v>672</v>
      </c>
      <c r="E128" s="1321" t="s">
        <v>1225</v>
      </c>
      <c r="F128" s="1069" t="s">
        <v>636</v>
      </c>
      <c r="G128" s="540">
        <f t="shared" si="78"/>
        <v>0</v>
      </c>
      <c r="H128" s="541">
        <f t="shared" si="79"/>
        <v>0</v>
      </c>
      <c r="I128" s="875"/>
      <c r="J128" s="876"/>
      <c r="K128" s="876"/>
      <c r="L128" s="1060"/>
      <c r="M128" s="540"/>
      <c r="N128" s="541">
        <f t="shared" si="80"/>
        <v>0</v>
      </c>
      <c r="O128" s="875"/>
      <c r="P128" s="876"/>
      <c r="Q128" s="877"/>
      <c r="R128" s="540"/>
      <c r="S128" s="540">
        <f t="shared" si="81"/>
        <v>0</v>
      </c>
      <c r="T128" s="541">
        <f t="shared" si="82"/>
        <v>0</v>
      </c>
      <c r="U128" s="882"/>
      <c r="V128" s="878"/>
      <c r="W128" s="878"/>
      <c r="X128" s="878"/>
      <c r="Y128" s="879"/>
      <c r="Z128" s="540"/>
      <c r="AA128" s="541">
        <f t="shared" si="83"/>
        <v>0</v>
      </c>
      <c r="AB128" s="882"/>
      <c r="AC128" s="878"/>
      <c r="AD128" s="879"/>
      <c r="AE128" s="540"/>
    </row>
    <row r="129" spans="1:32">
      <c r="A129" s="618">
        <f t="shared" si="84"/>
        <v>94</v>
      </c>
      <c r="B129" s="945">
        <v>17</v>
      </c>
      <c r="C129" s="393" t="s">
        <v>996</v>
      </c>
      <c r="D129" s="1068" t="s">
        <v>997</v>
      </c>
      <c r="E129" s="1321" t="s">
        <v>1225</v>
      </c>
      <c r="F129" s="1069" t="s">
        <v>998</v>
      </c>
      <c r="G129" s="540">
        <f t="shared" si="78"/>
        <v>0</v>
      </c>
      <c r="H129" s="541">
        <f t="shared" si="79"/>
        <v>0</v>
      </c>
      <c r="I129" s="875"/>
      <c r="J129" s="876"/>
      <c r="K129" s="876"/>
      <c r="L129" s="1060"/>
      <c r="M129" s="540"/>
      <c r="N129" s="541">
        <f t="shared" si="80"/>
        <v>0</v>
      </c>
      <c r="O129" s="875"/>
      <c r="P129" s="876"/>
      <c r="Q129" s="877"/>
      <c r="R129" s="540"/>
      <c r="S129" s="540">
        <f t="shared" si="81"/>
        <v>0</v>
      </c>
      <c r="T129" s="541">
        <f t="shared" si="82"/>
        <v>0</v>
      </c>
      <c r="U129" s="882"/>
      <c r="V129" s="878"/>
      <c r="W129" s="878"/>
      <c r="X129" s="878"/>
      <c r="Y129" s="879"/>
      <c r="Z129" s="540"/>
      <c r="AA129" s="541">
        <f t="shared" si="83"/>
        <v>0</v>
      </c>
      <c r="AB129" s="882"/>
      <c r="AC129" s="878"/>
      <c r="AD129" s="879"/>
      <c r="AE129" s="540"/>
    </row>
    <row r="130" spans="1:32" ht="12.75" thickBot="1">
      <c r="A130" s="618">
        <f t="shared" si="84"/>
        <v>95</v>
      </c>
      <c r="B130" s="945">
        <v>17</v>
      </c>
      <c r="C130" s="393" t="s">
        <v>1006</v>
      </c>
      <c r="D130" s="1068" t="s">
        <v>1005</v>
      </c>
      <c r="E130" s="1321" t="s">
        <v>1225</v>
      </c>
      <c r="F130" s="1069" t="s">
        <v>998</v>
      </c>
      <c r="G130" s="540">
        <f t="shared" si="78"/>
        <v>0</v>
      </c>
      <c r="H130" s="541">
        <f t="shared" si="79"/>
        <v>0</v>
      </c>
      <c r="I130" s="875"/>
      <c r="J130" s="876"/>
      <c r="K130" s="876"/>
      <c r="L130" s="1060"/>
      <c r="M130" s="540"/>
      <c r="N130" s="541">
        <f t="shared" si="80"/>
        <v>0</v>
      </c>
      <c r="O130" s="875"/>
      <c r="P130" s="876"/>
      <c r="Q130" s="877"/>
      <c r="R130" s="540"/>
      <c r="S130" s="562">
        <f t="shared" si="81"/>
        <v>0</v>
      </c>
      <c r="T130" s="563">
        <f t="shared" si="82"/>
        <v>0</v>
      </c>
      <c r="U130" s="893"/>
      <c r="V130" s="890"/>
      <c r="W130" s="890"/>
      <c r="X130" s="890"/>
      <c r="Y130" s="891"/>
      <c r="Z130" s="540"/>
      <c r="AA130" s="563">
        <f t="shared" si="83"/>
        <v>0</v>
      </c>
      <c r="AB130" s="893"/>
      <c r="AC130" s="890"/>
      <c r="AD130" s="891"/>
      <c r="AE130" s="540"/>
    </row>
    <row r="131" spans="1:32" s="549" customFormat="1" ht="12.75" thickBot="1">
      <c r="A131" s="614" t="s">
        <v>746</v>
      </c>
      <c r="B131" s="948"/>
      <c r="C131" s="1198" t="s">
        <v>871</v>
      </c>
      <c r="D131" s="1199"/>
      <c r="E131" s="1199"/>
      <c r="F131" s="1200"/>
      <c r="G131" s="566">
        <f t="shared" ref="G131:R131" si="85">SUM(G124:G130)</f>
        <v>0</v>
      </c>
      <c r="H131" s="477">
        <f t="shared" si="85"/>
        <v>0</v>
      </c>
      <c r="I131" s="567">
        <f t="shared" si="85"/>
        <v>0</v>
      </c>
      <c r="J131" s="404">
        <f t="shared" si="85"/>
        <v>0</v>
      </c>
      <c r="K131" s="404">
        <f t="shared" si="85"/>
        <v>0</v>
      </c>
      <c r="L131" s="1071">
        <f t="shared" si="85"/>
        <v>0</v>
      </c>
      <c r="M131" s="566">
        <f t="shared" si="85"/>
        <v>0</v>
      </c>
      <c r="N131" s="477">
        <f t="shared" si="85"/>
        <v>0</v>
      </c>
      <c r="O131" s="567">
        <f t="shared" si="85"/>
        <v>0</v>
      </c>
      <c r="P131" s="404">
        <f t="shared" si="85"/>
        <v>0</v>
      </c>
      <c r="Q131" s="391">
        <f t="shared" si="85"/>
        <v>0</v>
      </c>
      <c r="R131" s="566">
        <f t="shared" si="85"/>
        <v>0</v>
      </c>
      <c r="S131" s="566">
        <f>SUM(S124:S130)</f>
        <v>0</v>
      </c>
      <c r="T131" s="596">
        <f t="shared" ref="T131:AE131" si="86">SUM(T124:T130)</f>
        <v>0</v>
      </c>
      <c r="U131" s="597">
        <f t="shared" si="86"/>
        <v>0</v>
      </c>
      <c r="V131" s="598">
        <f t="shared" si="86"/>
        <v>0</v>
      </c>
      <c r="W131" s="598">
        <f t="shared" si="86"/>
        <v>0</v>
      </c>
      <c r="X131" s="598">
        <f t="shared" si="86"/>
        <v>0</v>
      </c>
      <c r="Y131" s="477">
        <f t="shared" si="86"/>
        <v>0</v>
      </c>
      <c r="Z131" s="566">
        <f t="shared" si="86"/>
        <v>0</v>
      </c>
      <c r="AA131" s="599">
        <f t="shared" si="86"/>
        <v>0</v>
      </c>
      <c r="AB131" s="598">
        <f t="shared" si="86"/>
        <v>0</v>
      </c>
      <c r="AC131" s="598">
        <f t="shared" si="86"/>
        <v>0</v>
      </c>
      <c r="AD131" s="477">
        <f t="shared" si="86"/>
        <v>0</v>
      </c>
      <c r="AE131" s="566">
        <f t="shared" si="86"/>
        <v>0</v>
      </c>
    </row>
    <row r="132" spans="1:32" s="549" customFormat="1" ht="12.75" thickBot="1">
      <c r="A132" s="615" t="s">
        <v>22</v>
      </c>
      <c r="B132" s="949"/>
      <c r="C132" s="1195" t="s">
        <v>872</v>
      </c>
      <c r="D132" s="1196"/>
      <c r="E132" s="1196"/>
      <c r="F132" s="1197"/>
      <c r="G132" s="569">
        <f t="shared" ref="G132:AE132" si="87">+G119+G123+G131</f>
        <v>0</v>
      </c>
      <c r="H132" s="579">
        <f t="shared" si="87"/>
        <v>0</v>
      </c>
      <c r="I132" s="570">
        <f t="shared" si="87"/>
        <v>0</v>
      </c>
      <c r="J132" s="571">
        <f t="shared" si="87"/>
        <v>0</v>
      </c>
      <c r="K132" s="571">
        <f t="shared" si="87"/>
        <v>0</v>
      </c>
      <c r="L132" s="1072">
        <f t="shared" si="87"/>
        <v>0</v>
      </c>
      <c r="M132" s="569">
        <f t="shared" si="87"/>
        <v>0</v>
      </c>
      <c r="N132" s="579">
        <f t="shared" si="87"/>
        <v>0</v>
      </c>
      <c r="O132" s="570">
        <f t="shared" si="87"/>
        <v>0</v>
      </c>
      <c r="P132" s="571">
        <f t="shared" si="87"/>
        <v>0</v>
      </c>
      <c r="Q132" s="572">
        <f t="shared" si="87"/>
        <v>0</v>
      </c>
      <c r="R132" s="569">
        <f t="shared" si="87"/>
        <v>0</v>
      </c>
      <c r="S132" s="604">
        <f t="shared" si="87"/>
        <v>-20590</v>
      </c>
      <c r="T132" s="605">
        <f t="shared" si="87"/>
        <v>-20590</v>
      </c>
      <c r="U132" s="601">
        <f t="shared" si="87"/>
        <v>-17620</v>
      </c>
      <c r="V132" s="602">
        <f t="shared" si="87"/>
        <v>-2970</v>
      </c>
      <c r="W132" s="602">
        <f t="shared" si="87"/>
        <v>0</v>
      </c>
      <c r="X132" s="602">
        <f t="shared" si="87"/>
        <v>0</v>
      </c>
      <c r="Y132" s="603">
        <f t="shared" si="87"/>
        <v>0</v>
      </c>
      <c r="Z132" s="569">
        <f t="shared" si="87"/>
        <v>0</v>
      </c>
      <c r="AA132" s="605">
        <f t="shared" si="87"/>
        <v>0</v>
      </c>
      <c r="AB132" s="601">
        <f t="shared" si="87"/>
        <v>0</v>
      </c>
      <c r="AC132" s="602">
        <f t="shared" si="87"/>
        <v>0</v>
      </c>
      <c r="AD132" s="603">
        <f t="shared" si="87"/>
        <v>0</v>
      </c>
      <c r="AE132" s="569">
        <f t="shared" si="87"/>
        <v>0</v>
      </c>
    </row>
    <row r="133" spans="1:32" s="549" customFormat="1" ht="12.75" thickBot="1">
      <c r="A133" s="614"/>
      <c r="B133" s="952"/>
      <c r="C133" s="392"/>
      <c r="D133" s="613"/>
      <c r="E133" s="1325"/>
      <c r="F133" s="565"/>
      <c r="G133" s="566"/>
      <c r="H133" s="477"/>
      <c r="I133" s="567"/>
      <c r="J133" s="404"/>
      <c r="K133" s="404"/>
      <c r="L133" s="1071"/>
      <c r="M133" s="566"/>
      <c r="N133" s="477"/>
      <c r="O133" s="567"/>
      <c r="P133" s="404"/>
      <c r="Q133" s="391"/>
      <c r="R133" s="566"/>
      <c r="S133" s="566"/>
      <c r="T133" s="477"/>
      <c r="U133" s="567"/>
      <c r="V133" s="404"/>
      <c r="W133" s="404"/>
      <c r="X133" s="404"/>
      <c r="Y133" s="391"/>
      <c r="Z133" s="566"/>
      <c r="AA133" s="477"/>
      <c r="AB133" s="567"/>
      <c r="AC133" s="404"/>
      <c r="AD133" s="391"/>
      <c r="AE133" s="566"/>
    </row>
    <row r="134" spans="1:32">
      <c r="A134" s="1002">
        <f>+A130+1</f>
        <v>96</v>
      </c>
      <c r="B134" s="951">
        <v>18</v>
      </c>
      <c r="C134" s="398" t="s">
        <v>1076</v>
      </c>
      <c r="D134" s="1077" t="s">
        <v>1077</v>
      </c>
      <c r="E134" s="1324" t="s">
        <v>1225</v>
      </c>
      <c r="F134" s="1059" t="s">
        <v>1078</v>
      </c>
      <c r="G134" s="540">
        <f t="shared" ref="G134:G140" si="88">+H134+M134+N134+R134</f>
        <v>0</v>
      </c>
      <c r="H134" s="541">
        <f t="shared" ref="H134:H140" si="89">+I134+J134+K134+L134</f>
        <v>0</v>
      </c>
      <c r="I134" s="875"/>
      <c r="J134" s="876"/>
      <c r="K134" s="876"/>
      <c r="L134" s="1060"/>
      <c r="M134" s="540"/>
      <c r="N134" s="541">
        <f t="shared" ref="N134:N140" si="90">+O134+P134+Q134</f>
        <v>0</v>
      </c>
      <c r="O134" s="875"/>
      <c r="P134" s="876"/>
      <c r="Q134" s="877"/>
      <c r="R134" s="540"/>
      <c r="S134" s="558">
        <f t="shared" ref="S134:S140" si="91">+T134+Z134+AA134+AE134</f>
        <v>0</v>
      </c>
      <c r="T134" s="559">
        <f t="shared" ref="T134:T140" si="92">+U134+V134+W134+X134+Y134</f>
        <v>0</v>
      </c>
      <c r="U134" s="875"/>
      <c r="V134" s="876"/>
      <c r="W134" s="876"/>
      <c r="X134" s="876"/>
      <c r="Y134" s="877"/>
      <c r="Z134" s="540"/>
      <c r="AA134" s="559">
        <f t="shared" ref="AA134:AA140" si="93">+AB134+AC134+AD134</f>
        <v>0</v>
      </c>
      <c r="AB134" s="875"/>
      <c r="AC134" s="876"/>
      <c r="AD134" s="877"/>
      <c r="AE134" s="540"/>
    </row>
    <row r="135" spans="1:32" s="1118" customFormat="1">
      <c r="A135" s="1192" t="str">
        <f>+$C$203&amp;". "&amp;$F$203</f>
        <v>11. HVÓBKI kiadásainak felülvizsgálata</v>
      </c>
      <c r="B135" s="1193"/>
      <c r="C135" s="1193"/>
      <c r="D135" s="1193"/>
      <c r="E135" s="1193"/>
      <c r="F135" s="1194"/>
      <c r="G135" s="1111">
        <f>+H135+M135+N135+R135</f>
        <v>0</v>
      </c>
      <c r="H135" s="1112">
        <f>+I135+J135+K135+L135</f>
        <v>0</v>
      </c>
      <c r="I135" s="931"/>
      <c r="J135" s="932"/>
      <c r="K135" s="932"/>
      <c r="L135" s="1113"/>
      <c r="M135" s="1111"/>
      <c r="N135" s="1112">
        <f>+O135+P135+Q135</f>
        <v>0</v>
      </c>
      <c r="O135" s="931"/>
      <c r="P135" s="932"/>
      <c r="Q135" s="933"/>
      <c r="R135" s="1111"/>
      <c r="S135" s="1111">
        <f>+T135+Z135+AA135+AE135</f>
        <v>-8396</v>
      </c>
      <c r="T135" s="1112">
        <f>+U135+V135+W135+X135+Y135</f>
        <v>-7896</v>
      </c>
      <c r="U135" s="931">
        <v>-2722</v>
      </c>
      <c r="V135" s="1119">
        <v>-350</v>
      </c>
      <c r="W135" s="1119">
        <v>-4824</v>
      </c>
      <c r="X135" s="1119"/>
      <c r="Y135" s="1120"/>
      <c r="Z135" s="1111"/>
      <c r="AA135" s="1112">
        <f>+AB135+AC135+AD135</f>
        <v>-500</v>
      </c>
      <c r="AB135" s="1121">
        <v>-500</v>
      </c>
      <c r="AC135" s="1119"/>
      <c r="AD135" s="1120"/>
      <c r="AE135" s="1111"/>
      <c r="AF135" s="1117">
        <f>-G135+S135</f>
        <v>-8396</v>
      </c>
    </row>
    <row r="136" spans="1:32">
      <c r="A136" s="618">
        <f>+A134+1</f>
        <v>97</v>
      </c>
      <c r="B136" s="945">
        <v>19</v>
      </c>
      <c r="C136" s="393" t="s">
        <v>1079</v>
      </c>
      <c r="D136" s="1068" t="s">
        <v>1080</v>
      </c>
      <c r="E136" s="1321" t="s">
        <v>1239</v>
      </c>
      <c r="F136" s="1069" t="s">
        <v>1085</v>
      </c>
      <c r="G136" s="540">
        <f t="shared" si="88"/>
        <v>0</v>
      </c>
      <c r="H136" s="541">
        <f t="shared" si="89"/>
        <v>0</v>
      </c>
      <c r="I136" s="875"/>
      <c r="J136" s="876"/>
      <c r="K136" s="876"/>
      <c r="L136" s="1060"/>
      <c r="M136" s="540"/>
      <c r="N136" s="541">
        <f t="shared" si="90"/>
        <v>0</v>
      </c>
      <c r="O136" s="875"/>
      <c r="P136" s="876"/>
      <c r="Q136" s="877"/>
      <c r="R136" s="540"/>
      <c r="S136" s="558">
        <f t="shared" si="91"/>
        <v>0</v>
      </c>
      <c r="T136" s="559">
        <f t="shared" si="92"/>
        <v>0</v>
      </c>
      <c r="U136" s="875"/>
      <c r="V136" s="878"/>
      <c r="W136" s="878"/>
      <c r="X136" s="878"/>
      <c r="Y136" s="879"/>
      <c r="Z136" s="540"/>
      <c r="AA136" s="559">
        <f t="shared" si="93"/>
        <v>0</v>
      </c>
      <c r="AB136" s="882"/>
      <c r="AC136" s="878"/>
      <c r="AD136" s="879"/>
      <c r="AE136" s="540"/>
    </row>
    <row r="137" spans="1:32">
      <c r="A137" s="618">
        <f t="shared" ref="A137:A140" si="94">+A136+1</f>
        <v>98</v>
      </c>
      <c r="B137" s="945">
        <v>19</v>
      </c>
      <c r="C137" s="393" t="s">
        <v>1079</v>
      </c>
      <c r="D137" s="1068" t="s">
        <v>1080</v>
      </c>
      <c r="E137" s="1321" t="s">
        <v>1240</v>
      </c>
      <c r="F137" s="1069" t="s">
        <v>1086</v>
      </c>
      <c r="G137" s="540">
        <f t="shared" si="88"/>
        <v>0</v>
      </c>
      <c r="H137" s="541">
        <f t="shared" si="89"/>
        <v>0</v>
      </c>
      <c r="I137" s="875"/>
      <c r="J137" s="876"/>
      <c r="K137" s="876"/>
      <c r="L137" s="1060"/>
      <c r="M137" s="540"/>
      <c r="N137" s="541">
        <f t="shared" si="90"/>
        <v>0</v>
      </c>
      <c r="O137" s="875"/>
      <c r="P137" s="876"/>
      <c r="Q137" s="877"/>
      <c r="R137" s="540"/>
      <c r="S137" s="558">
        <f t="shared" si="91"/>
        <v>0</v>
      </c>
      <c r="T137" s="559">
        <f t="shared" si="92"/>
        <v>0</v>
      </c>
      <c r="U137" s="875"/>
      <c r="V137" s="878"/>
      <c r="W137" s="878"/>
      <c r="X137" s="878"/>
      <c r="Y137" s="879"/>
      <c r="Z137" s="540"/>
      <c r="AA137" s="559">
        <f t="shared" si="93"/>
        <v>0</v>
      </c>
      <c r="AB137" s="882"/>
      <c r="AC137" s="878"/>
      <c r="AD137" s="879"/>
      <c r="AE137" s="540"/>
    </row>
    <row r="138" spans="1:32">
      <c r="A138" s="618">
        <f t="shared" si="94"/>
        <v>99</v>
      </c>
      <c r="B138" s="946">
        <v>20</v>
      </c>
      <c r="C138" s="396" t="s">
        <v>1081</v>
      </c>
      <c r="D138" s="1062" t="s">
        <v>1171</v>
      </c>
      <c r="E138" s="1320" t="s">
        <v>1241</v>
      </c>
      <c r="F138" s="1065" t="s">
        <v>573</v>
      </c>
      <c r="G138" s="540">
        <f t="shared" si="88"/>
        <v>0</v>
      </c>
      <c r="H138" s="541">
        <f t="shared" si="89"/>
        <v>0</v>
      </c>
      <c r="I138" s="875"/>
      <c r="J138" s="876"/>
      <c r="K138" s="876"/>
      <c r="L138" s="1060"/>
      <c r="M138" s="540"/>
      <c r="N138" s="541">
        <f t="shared" si="90"/>
        <v>0</v>
      </c>
      <c r="O138" s="875"/>
      <c r="P138" s="876"/>
      <c r="Q138" s="877"/>
      <c r="R138" s="540"/>
      <c r="S138" s="558">
        <f t="shared" si="91"/>
        <v>0</v>
      </c>
      <c r="T138" s="559">
        <f t="shared" si="92"/>
        <v>0</v>
      </c>
      <c r="U138" s="875"/>
      <c r="V138" s="878"/>
      <c r="W138" s="878"/>
      <c r="X138" s="878"/>
      <c r="Y138" s="879"/>
      <c r="Z138" s="540"/>
      <c r="AA138" s="559">
        <f t="shared" si="93"/>
        <v>0</v>
      </c>
      <c r="AB138" s="882"/>
      <c r="AC138" s="878"/>
      <c r="AD138" s="879"/>
      <c r="AE138" s="540"/>
    </row>
    <row r="139" spans="1:32">
      <c r="A139" s="618">
        <f>+A138+1</f>
        <v>100</v>
      </c>
      <c r="B139" s="945">
        <v>19</v>
      </c>
      <c r="C139" s="393" t="s">
        <v>1082</v>
      </c>
      <c r="D139" s="1068" t="s">
        <v>1083</v>
      </c>
      <c r="E139" s="1321" t="s">
        <v>1242</v>
      </c>
      <c r="F139" s="1069" t="s">
        <v>1084</v>
      </c>
      <c r="G139" s="540">
        <f>+H139+M139+N139+R139</f>
        <v>0</v>
      </c>
      <c r="H139" s="541">
        <f>+I139+J139+K139+L139</f>
        <v>0</v>
      </c>
      <c r="I139" s="875"/>
      <c r="J139" s="876"/>
      <c r="K139" s="876"/>
      <c r="L139" s="1060"/>
      <c r="M139" s="540"/>
      <c r="N139" s="541">
        <f>+O139+P139+Q139</f>
        <v>0</v>
      </c>
      <c r="O139" s="875"/>
      <c r="P139" s="876"/>
      <c r="Q139" s="877"/>
      <c r="R139" s="540"/>
      <c r="S139" s="558">
        <f>+T139+Z139+AA139+AE139</f>
        <v>0</v>
      </c>
      <c r="T139" s="559">
        <f>+U139+V139+W139+X139+Y139</f>
        <v>0</v>
      </c>
      <c r="U139" s="875"/>
      <c r="V139" s="878"/>
      <c r="W139" s="878"/>
      <c r="X139" s="878"/>
      <c r="Y139" s="879"/>
      <c r="Z139" s="540"/>
      <c r="AA139" s="559">
        <f>+AB139+AC139+AD139</f>
        <v>0</v>
      </c>
      <c r="AB139" s="882"/>
      <c r="AC139" s="878"/>
      <c r="AD139" s="879"/>
      <c r="AE139" s="540"/>
    </row>
    <row r="140" spans="1:32" ht="12.75" thickBot="1">
      <c r="A140" s="618">
        <f t="shared" si="94"/>
        <v>101</v>
      </c>
      <c r="B140" s="945">
        <v>19</v>
      </c>
      <c r="C140" s="393" t="s">
        <v>1002</v>
      </c>
      <c r="D140" s="1068" t="s">
        <v>1003</v>
      </c>
      <c r="E140" s="1321" t="s">
        <v>1225</v>
      </c>
      <c r="F140" s="1069" t="s">
        <v>1078</v>
      </c>
      <c r="G140" s="540">
        <f t="shared" si="88"/>
        <v>0</v>
      </c>
      <c r="H140" s="541">
        <f t="shared" si="89"/>
        <v>0</v>
      </c>
      <c r="I140" s="875"/>
      <c r="J140" s="876"/>
      <c r="K140" s="876"/>
      <c r="L140" s="1060"/>
      <c r="M140" s="540"/>
      <c r="N140" s="541">
        <f t="shared" si="90"/>
        <v>0</v>
      </c>
      <c r="O140" s="875"/>
      <c r="P140" s="876"/>
      <c r="Q140" s="877"/>
      <c r="R140" s="540"/>
      <c r="S140" s="558">
        <f t="shared" si="91"/>
        <v>0</v>
      </c>
      <c r="T140" s="559">
        <f t="shared" si="92"/>
        <v>0</v>
      </c>
      <c r="U140" s="875"/>
      <c r="V140" s="878"/>
      <c r="W140" s="878"/>
      <c r="X140" s="878"/>
      <c r="Y140" s="879"/>
      <c r="Z140" s="540"/>
      <c r="AA140" s="559">
        <f t="shared" si="93"/>
        <v>0</v>
      </c>
      <c r="AB140" s="882"/>
      <c r="AC140" s="878"/>
      <c r="AD140" s="879"/>
      <c r="AE140" s="540"/>
    </row>
    <row r="141" spans="1:32" s="549" customFormat="1" ht="12.75" thickBot="1">
      <c r="A141" s="614" t="s">
        <v>747</v>
      </c>
      <c r="B141" s="948"/>
      <c r="C141" s="1204" t="s">
        <v>417</v>
      </c>
      <c r="D141" s="1205"/>
      <c r="E141" s="1205"/>
      <c r="F141" s="1206"/>
      <c r="G141" s="566">
        <f t="shared" ref="G141:AE141" si="95">SUM(G134:G140)</f>
        <v>0</v>
      </c>
      <c r="H141" s="477">
        <f t="shared" si="95"/>
        <v>0</v>
      </c>
      <c r="I141" s="567">
        <f t="shared" si="95"/>
        <v>0</v>
      </c>
      <c r="J141" s="404">
        <f t="shared" si="95"/>
        <v>0</v>
      </c>
      <c r="K141" s="404">
        <f t="shared" si="95"/>
        <v>0</v>
      </c>
      <c r="L141" s="1071">
        <f t="shared" si="95"/>
        <v>0</v>
      </c>
      <c r="M141" s="566">
        <f t="shared" si="95"/>
        <v>0</v>
      </c>
      <c r="N141" s="566">
        <f t="shared" si="95"/>
        <v>0</v>
      </c>
      <c r="O141" s="567">
        <f t="shared" si="95"/>
        <v>0</v>
      </c>
      <c r="P141" s="404">
        <f t="shared" si="95"/>
        <v>0</v>
      </c>
      <c r="Q141" s="391">
        <f t="shared" si="95"/>
        <v>0</v>
      </c>
      <c r="R141" s="566">
        <f t="shared" si="95"/>
        <v>0</v>
      </c>
      <c r="S141" s="566">
        <f t="shared" si="95"/>
        <v>-8396</v>
      </c>
      <c r="T141" s="477">
        <f t="shared" si="95"/>
        <v>-7896</v>
      </c>
      <c r="U141" s="567">
        <f t="shared" si="95"/>
        <v>-2722</v>
      </c>
      <c r="V141" s="404">
        <f t="shared" si="95"/>
        <v>-350</v>
      </c>
      <c r="W141" s="404">
        <f t="shared" si="95"/>
        <v>-4824</v>
      </c>
      <c r="X141" s="404">
        <f t="shared" si="95"/>
        <v>0</v>
      </c>
      <c r="Y141" s="391">
        <f t="shared" si="95"/>
        <v>0</v>
      </c>
      <c r="Z141" s="566">
        <f t="shared" si="95"/>
        <v>0</v>
      </c>
      <c r="AA141" s="477">
        <f t="shared" si="95"/>
        <v>-500</v>
      </c>
      <c r="AB141" s="567">
        <f t="shared" si="95"/>
        <v>-500</v>
      </c>
      <c r="AC141" s="404">
        <f t="shared" si="95"/>
        <v>0</v>
      </c>
      <c r="AD141" s="391">
        <f t="shared" si="95"/>
        <v>0</v>
      </c>
      <c r="AE141" s="566">
        <f t="shared" si="95"/>
        <v>0</v>
      </c>
    </row>
    <row r="142" spans="1:32" s="553" customFormat="1" ht="12.75" customHeight="1" thickBot="1">
      <c r="A142" s="620">
        <f>+A140+1</f>
        <v>102</v>
      </c>
      <c r="B142" s="953">
        <v>21</v>
      </c>
      <c r="C142" s="503" t="s">
        <v>19</v>
      </c>
      <c r="D142" s="611" t="s">
        <v>19</v>
      </c>
      <c r="E142" s="1326" t="s">
        <v>19</v>
      </c>
      <c r="F142" s="1083" t="s">
        <v>19</v>
      </c>
      <c r="G142" s="590">
        <f>+H142+M142+N142+R142</f>
        <v>0</v>
      </c>
      <c r="H142" s="485">
        <f>+I142+J142+K142+L142</f>
        <v>0</v>
      </c>
      <c r="I142" s="893"/>
      <c r="J142" s="890"/>
      <c r="K142" s="890"/>
      <c r="L142" s="1084"/>
      <c r="M142" s="590"/>
      <c r="N142" s="485">
        <f>+O142+P142+Q142</f>
        <v>0</v>
      </c>
      <c r="O142" s="893"/>
      <c r="P142" s="890"/>
      <c r="Q142" s="891"/>
      <c r="R142" s="590"/>
      <c r="S142" s="590">
        <f>+T142+Z142+AA142+AE142</f>
        <v>0</v>
      </c>
      <c r="T142" s="485">
        <f>+U142+V142+W142+X142+Y142</f>
        <v>0</v>
      </c>
      <c r="U142" s="893"/>
      <c r="V142" s="890"/>
      <c r="W142" s="890"/>
      <c r="X142" s="890"/>
      <c r="Y142" s="891"/>
      <c r="Z142" s="590"/>
      <c r="AA142" s="485">
        <f>+AB142+AC142+AD142</f>
        <v>0</v>
      </c>
      <c r="AB142" s="893"/>
      <c r="AC142" s="890"/>
      <c r="AD142" s="891"/>
      <c r="AE142" s="590"/>
    </row>
    <row r="143" spans="1:32" s="549" customFormat="1" ht="12.75" thickBot="1">
      <c r="A143" s="976" t="s">
        <v>748</v>
      </c>
      <c r="B143" s="948"/>
      <c r="C143" s="1204" t="s">
        <v>418</v>
      </c>
      <c r="D143" s="1205"/>
      <c r="E143" s="1205"/>
      <c r="F143" s="1206"/>
      <c r="G143" s="566">
        <f>SUM(G142)</f>
        <v>0</v>
      </c>
      <c r="H143" s="566">
        <f t="shared" ref="H143:R143" si="96">SUM(H142)</f>
        <v>0</v>
      </c>
      <c r="I143" s="567">
        <f t="shared" si="96"/>
        <v>0</v>
      </c>
      <c r="J143" s="404">
        <f t="shared" si="96"/>
        <v>0</v>
      </c>
      <c r="K143" s="404">
        <f t="shared" si="96"/>
        <v>0</v>
      </c>
      <c r="L143" s="1071">
        <f t="shared" si="96"/>
        <v>0</v>
      </c>
      <c r="M143" s="566">
        <f>SUM(M142)</f>
        <v>0</v>
      </c>
      <c r="N143" s="566">
        <f t="shared" si="96"/>
        <v>0</v>
      </c>
      <c r="O143" s="567">
        <f t="shared" si="96"/>
        <v>0</v>
      </c>
      <c r="P143" s="404">
        <f t="shared" si="96"/>
        <v>0</v>
      </c>
      <c r="Q143" s="391">
        <f t="shared" si="96"/>
        <v>0</v>
      </c>
      <c r="R143" s="566">
        <f t="shared" si="96"/>
        <v>0</v>
      </c>
      <c r="S143" s="566">
        <f>SUM(S142)</f>
        <v>0</v>
      </c>
      <c r="T143" s="566">
        <f t="shared" ref="T143:AD143" si="97">SUM(T142)</f>
        <v>0</v>
      </c>
      <c r="U143" s="567">
        <f t="shared" si="97"/>
        <v>0</v>
      </c>
      <c r="V143" s="404">
        <f t="shared" si="97"/>
        <v>0</v>
      </c>
      <c r="W143" s="404">
        <f t="shared" si="97"/>
        <v>0</v>
      </c>
      <c r="X143" s="404">
        <f t="shared" si="97"/>
        <v>0</v>
      </c>
      <c r="Y143" s="391">
        <f t="shared" si="97"/>
        <v>0</v>
      </c>
      <c r="Z143" s="566">
        <f t="shared" si="97"/>
        <v>0</v>
      </c>
      <c r="AA143" s="477">
        <f t="shared" si="97"/>
        <v>0</v>
      </c>
      <c r="AB143" s="567">
        <f t="shared" si="97"/>
        <v>0</v>
      </c>
      <c r="AC143" s="404">
        <f t="shared" si="97"/>
        <v>0</v>
      </c>
      <c r="AD143" s="391">
        <f t="shared" si="97"/>
        <v>0</v>
      </c>
      <c r="AE143" s="566">
        <f>SUM(AE142)</f>
        <v>0</v>
      </c>
    </row>
    <row r="144" spans="1:32" s="553" customFormat="1" ht="12.75" customHeight="1" thickBot="1">
      <c r="A144" s="620">
        <f>+A142+1</f>
        <v>103</v>
      </c>
      <c r="B144" s="953">
        <v>22</v>
      </c>
      <c r="C144" s="393" t="s">
        <v>19</v>
      </c>
      <c r="D144" s="1068" t="s">
        <v>19</v>
      </c>
      <c r="E144" s="1321" t="s">
        <v>19</v>
      </c>
      <c r="F144" s="1069" t="s">
        <v>19</v>
      </c>
      <c r="G144" s="590">
        <f>+H144+M144+N144+R144</f>
        <v>0</v>
      </c>
      <c r="H144" s="485">
        <f>+I144+J144+K144+L144</f>
        <v>0</v>
      </c>
      <c r="I144" s="893"/>
      <c r="J144" s="890"/>
      <c r="K144" s="890"/>
      <c r="L144" s="1084"/>
      <c r="M144" s="590"/>
      <c r="N144" s="485">
        <f>+O144+P144+Q144</f>
        <v>0</v>
      </c>
      <c r="O144" s="893"/>
      <c r="P144" s="890"/>
      <c r="Q144" s="891"/>
      <c r="R144" s="590"/>
      <c r="S144" s="590">
        <f>+T144+Z144+AA144+AE144</f>
        <v>0</v>
      </c>
      <c r="T144" s="485">
        <f>+U144+V144+W144+X144+Y144</f>
        <v>0</v>
      </c>
      <c r="U144" s="893"/>
      <c r="V144" s="890"/>
      <c r="W144" s="890"/>
      <c r="X144" s="890"/>
      <c r="Y144" s="891"/>
      <c r="Z144" s="590"/>
      <c r="AA144" s="485">
        <f>+AB144+AC144+AD144</f>
        <v>0</v>
      </c>
      <c r="AB144" s="893"/>
      <c r="AC144" s="890"/>
      <c r="AD144" s="891"/>
      <c r="AE144" s="590"/>
    </row>
    <row r="145" spans="1:32" s="549" customFormat="1" ht="12.75" thickBot="1">
      <c r="A145" s="614" t="s">
        <v>749</v>
      </c>
      <c r="B145" s="948"/>
      <c r="C145" s="1204" t="s">
        <v>766</v>
      </c>
      <c r="D145" s="1205"/>
      <c r="E145" s="1205"/>
      <c r="F145" s="1206"/>
      <c r="G145" s="566">
        <f>SUM(G144)</f>
        <v>0</v>
      </c>
      <c r="H145" s="477">
        <f t="shared" ref="H145:R145" si="98">SUM(H144)</f>
        <v>0</v>
      </c>
      <c r="I145" s="567">
        <f t="shared" si="98"/>
        <v>0</v>
      </c>
      <c r="J145" s="404">
        <f t="shared" si="98"/>
        <v>0</v>
      </c>
      <c r="K145" s="404">
        <f t="shared" si="98"/>
        <v>0</v>
      </c>
      <c r="L145" s="1071">
        <f t="shared" si="98"/>
        <v>0</v>
      </c>
      <c r="M145" s="566">
        <f>SUM(M144)</f>
        <v>0</v>
      </c>
      <c r="N145" s="477">
        <f t="shared" si="98"/>
        <v>0</v>
      </c>
      <c r="O145" s="567">
        <f t="shared" si="98"/>
        <v>0</v>
      </c>
      <c r="P145" s="404">
        <f t="shared" si="98"/>
        <v>0</v>
      </c>
      <c r="Q145" s="391">
        <f t="shared" si="98"/>
        <v>0</v>
      </c>
      <c r="R145" s="566">
        <f t="shared" si="98"/>
        <v>0</v>
      </c>
      <c r="S145" s="566">
        <f>SUM(S144)</f>
        <v>0</v>
      </c>
      <c r="T145" s="477">
        <f t="shared" ref="T145:AD145" si="99">SUM(T144)</f>
        <v>0</v>
      </c>
      <c r="U145" s="567">
        <f t="shared" si="99"/>
        <v>0</v>
      </c>
      <c r="V145" s="404">
        <f t="shared" si="99"/>
        <v>0</v>
      </c>
      <c r="W145" s="404">
        <f t="shared" si="99"/>
        <v>0</v>
      </c>
      <c r="X145" s="404">
        <f t="shared" si="99"/>
        <v>0</v>
      </c>
      <c r="Y145" s="391">
        <f t="shared" si="99"/>
        <v>0</v>
      </c>
      <c r="Z145" s="566">
        <f t="shared" si="99"/>
        <v>0</v>
      </c>
      <c r="AA145" s="477">
        <f t="shared" si="99"/>
        <v>0</v>
      </c>
      <c r="AB145" s="567">
        <f t="shared" si="99"/>
        <v>0</v>
      </c>
      <c r="AC145" s="404">
        <f t="shared" si="99"/>
        <v>0</v>
      </c>
      <c r="AD145" s="391">
        <f t="shared" si="99"/>
        <v>0</v>
      </c>
      <c r="AE145" s="566">
        <f>SUM(AE144)</f>
        <v>0</v>
      </c>
    </row>
    <row r="146" spans="1:32" s="549" customFormat="1" ht="12.75" thickBot="1">
      <c r="A146" s="615" t="s">
        <v>21</v>
      </c>
      <c r="B146" s="949"/>
      <c r="C146" s="1201" t="s">
        <v>419</v>
      </c>
      <c r="D146" s="1202"/>
      <c r="E146" s="1202"/>
      <c r="F146" s="1203"/>
      <c r="G146" s="569">
        <f>+G141+G143+G145</f>
        <v>0</v>
      </c>
      <c r="H146" s="572">
        <f t="shared" ref="H146:R146" si="100">+H141+H143+H145</f>
        <v>0</v>
      </c>
      <c r="I146" s="586">
        <f t="shared" si="100"/>
        <v>0</v>
      </c>
      <c r="J146" s="587">
        <f t="shared" si="100"/>
        <v>0</v>
      </c>
      <c r="K146" s="587">
        <f t="shared" si="100"/>
        <v>0</v>
      </c>
      <c r="L146" s="1085">
        <f t="shared" si="100"/>
        <v>0</v>
      </c>
      <c r="M146" s="569">
        <f>+M141+M143+M145</f>
        <v>0</v>
      </c>
      <c r="N146" s="572">
        <f t="shared" si="100"/>
        <v>0</v>
      </c>
      <c r="O146" s="586">
        <f t="shared" si="100"/>
        <v>0</v>
      </c>
      <c r="P146" s="587">
        <f t="shared" si="100"/>
        <v>0</v>
      </c>
      <c r="Q146" s="588">
        <f t="shared" si="100"/>
        <v>0</v>
      </c>
      <c r="R146" s="569">
        <f t="shared" si="100"/>
        <v>0</v>
      </c>
      <c r="S146" s="569">
        <f>+S141+S143+S145</f>
        <v>-8396</v>
      </c>
      <c r="T146" s="607">
        <f t="shared" ref="T146:AD146" si="101">+T141+T143+T145</f>
        <v>-7896</v>
      </c>
      <c r="U146" s="570">
        <f t="shared" si="101"/>
        <v>-2722</v>
      </c>
      <c r="V146" s="571">
        <f t="shared" si="101"/>
        <v>-350</v>
      </c>
      <c r="W146" s="571">
        <f t="shared" si="101"/>
        <v>-4824</v>
      </c>
      <c r="X146" s="571">
        <f t="shared" si="101"/>
        <v>0</v>
      </c>
      <c r="Y146" s="572">
        <f t="shared" si="101"/>
        <v>0</v>
      </c>
      <c r="Z146" s="569">
        <f t="shared" si="101"/>
        <v>0</v>
      </c>
      <c r="AA146" s="608">
        <f t="shared" si="101"/>
        <v>-500</v>
      </c>
      <c r="AB146" s="570">
        <f t="shared" si="101"/>
        <v>-500</v>
      </c>
      <c r="AC146" s="571">
        <f t="shared" si="101"/>
        <v>0</v>
      </c>
      <c r="AD146" s="572">
        <f t="shared" si="101"/>
        <v>0</v>
      </c>
      <c r="AE146" s="569">
        <f>+AE141+AE143+AE145</f>
        <v>0</v>
      </c>
    </row>
    <row r="147" spans="1:32" s="549" customFormat="1" ht="12.75" thickBot="1">
      <c r="A147" s="614"/>
      <c r="B147" s="952"/>
      <c r="C147" s="392"/>
      <c r="D147" s="613"/>
      <c r="E147" s="1325"/>
      <c r="F147" s="565"/>
      <c r="G147" s="566"/>
      <c r="H147" s="477"/>
      <c r="I147" s="567"/>
      <c r="J147" s="404"/>
      <c r="K147" s="404"/>
      <c r="L147" s="1071"/>
      <c r="M147" s="566"/>
      <c r="N147" s="477"/>
      <c r="O147" s="567"/>
      <c r="P147" s="404"/>
      <c r="Q147" s="391"/>
      <c r="R147" s="566"/>
      <c r="S147" s="566"/>
      <c r="T147" s="477"/>
      <c r="U147" s="582"/>
      <c r="V147" s="583"/>
      <c r="W147" s="583"/>
      <c r="X147" s="583"/>
      <c r="Y147" s="584"/>
      <c r="Z147" s="566"/>
      <c r="AA147" s="477"/>
      <c r="AB147" s="582"/>
      <c r="AC147" s="583"/>
      <c r="AD147" s="584"/>
      <c r="AE147" s="566"/>
    </row>
    <row r="148" spans="1:32">
      <c r="A148" s="618">
        <f>+A144+1</f>
        <v>104</v>
      </c>
      <c r="B148" s="945">
        <v>23</v>
      </c>
      <c r="C148" s="393" t="s">
        <v>1087</v>
      </c>
      <c r="D148" s="1068" t="s">
        <v>1088</v>
      </c>
      <c r="E148" s="1321" t="s">
        <v>1225</v>
      </c>
      <c r="F148" s="1069" t="s">
        <v>1088</v>
      </c>
      <c r="G148" s="540">
        <f t="shared" ref="G148:G155" si="102">+H148+M148+N148+R148</f>
        <v>0</v>
      </c>
      <c r="H148" s="541">
        <f t="shared" ref="H148:H155" si="103">+I148+J148+K148+L148</f>
        <v>0</v>
      </c>
      <c r="I148" s="875"/>
      <c r="J148" s="876"/>
      <c r="K148" s="876"/>
      <c r="L148" s="1060"/>
      <c r="M148" s="540"/>
      <c r="N148" s="541">
        <f t="shared" ref="N148:N155" si="104">+O148+P148+Q148</f>
        <v>0</v>
      </c>
      <c r="O148" s="875"/>
      <c r="P148" s="876"/>
      <c r="Q148" s="877"/>
      <c r="R148" s="540"/>
      <c r="S148" s="558">
        <f t="shared" ref="S148:S155" si="105">+T148+Z148+AA148+AE148</f>
        <v>0</v>
      </c>
      <c r="T148" s="559">
        <f t="shared" ref="T148:T155" si="106">+U148+V148+W148+X148+Y148</f>
        <v>0</v>
      </c>
      <c r="U148" s="875"/>
      <c r="V148" s="876"/>
      <c r="W148" s="876"/>
      <c r="X148" s="876"/>
      <c r="Y148" s="877"/>
      <c r="Z148" s="540"/>
      <c r="AA148" s="559">
        <f t="shared" ref="AA148:AA155" si="107">+AB148+AC148+AD148</f>
        <v>0</v>
      </c>
      <c r="AB148" s="875"/>
      <c r="AC148" s="876"/>
      <c r="AD148" s="877"/>
      <c r="AE148" s="540"/>
    </row>
    <row r="149" spans="1:32">
      <c r="A149" s="618">
        <f>+A148+1</f>
        <v>105</v>
      </c>
      <c r="B149" s="945">
        <v>24</v>
      </c>
      <c r="C149" s="396" t="s">
        <v>1090</v>
      </c>
      <c r="D149" s="1062" t="s">
        <v>1089</v>
      </c>
      <c r="E149" s="1320" t="s">
        <v>1225</v>
      </c>
      <c r="F149" s="1065" t="s">
        <v>1089</v>
      </c>
      <c r="G149" s="540">
        <f t="shared" si="102"/>
        <v>0</v>
      </c>
      <c r="H149" s="541">
        <f t="shared" si="103"/>
        <v>0</v>
      </c>
      <c r="I149" s="875"/>
      <c r="J149" s="876"/>
      <c r="K149" s="876"/>
      <c r="L149" s="1060"/>
      <c r="M149" s="540"/>
      <c r="N149" s="541">
        <f t="shared" si="104"/>
        <v>0</v>
      </c>
      <c r="O149" s="875"/>
      <c r="P149" s="876"/>
      <c r="Q149" s="877"/>
      <c r="R149" s="540"/>
      <c r="S149" s="558">
        <f t="shared" si="105"/>
        <v>0</v>
      </c>
      <c r="T149" s="559">
        <f t="shared" si="106"/>
        <v>0</v>
      </c>
      <c r="U149" s="875"/>
      <c r="V149" s="878"/>
      <c r="W149" s="878"/>
      <c r="X149" s="878"/>
      <c r="Y149" s="879"/>
      <c r="Z149" s="540"/>
      <c r="AA149" s="559">
        <f t="shared" si="107"/>
        <v>0</v>
      </c>
      <c r="AB149" s="882"/>
      <c r="AC149" s="878"/>
      <c r="AD149" s="879"/>
      <c r="AE149" s="540"/>
    </row>
    <row r="150" spans="1:32" s="1118" customFormat="1">
      <c r="A150" s="1192" t="str">
        <f>+$C$204&amp;". "&amp;$F$204</f>
        <v>12. HKK kiadásainak felülvizsgálata</v>
      </c>
      <c r="B150" s="1193"/>
      <c r="C150" s="1193"/>
      <c r="D150" s="1193"/>
      <c r="E150" s="1193"/>
      <c r="F150" s="1194"/>
      <c r="G150" s="1111">
        <f t="shared" si="102"/>
        <v>0</v>
      </c>
      <c r="H150" s="1112">
        <f t="shared" si="103"/>
        <v>0</v>
      </c>
      <c r="I150" s="931"/>
      <c r="J150" s="932"/>
      <c r="K150" s="932"/>
      <c r="L150" s="1113"/>
      <c r="M150" s="1111"/>
      <c r="N150" s="1112">
        <f t="shared" si="104"/>
        <v>0</v>
      </c>
      <c r="O150" s="931"/>
      <c r="P150" s="932"/>
      <c r="Q150" s="933"/>
      <c r="R150" s="1111"/>
      <c r="S150" s="1111">
        <f t="shared" si="105"/>
        <v>-654</v>
      </c>
      <c r="T150" s="1112">
        <f t="shared" si="106"/>
        <v>-337</v>
      </c>
      <c r="U150" s="931"/>
      <c r="V150" s="1119"/>
      <c r="W150" s="1119">
        <f>-127-140-50-20</f>
        <v>-337</v>
      </c>
      <c r="X150" s="1119"/>
      <c r="Y150" s="1120"/>
      <c r="Z150" s="1111"/>
      <c r="AA150" s="1112">
        <f t="shared" si="107"/>
        <v>-317</v>
      </c>
      <c r="AB150" s="1121">
        <f>-254-63</f>
        <v>-317</v>
      </c>
      <c r="AC150" s="1119"/>
      <c r="AD150" s="1120"/>
      <c r="AE150" s="1111"/>
      <c r="AF150" s="1117">
        <f>-G150+S150</f>
        <v>-654</v>
      </c>
    </row>
    <row r="151" spans="1:32">
      <c r="A151" s="618">
        <f>+A149+1</f>
        <v>106</v>
      </c>
      <c r="B151" s="946">
        <v>25</v>
      </c>
      <c r="C151" s="396" t="s">
        <v>1092</v>
      </c>
      <c r="D151" s="1062" t="s">
        <v>1091</v>
      </c>
      <c r="E151" s="1320" t="s">
        <v>1243</v>
      </c>
      <c r="F151" s="1065" t="s">
        <v>1095</v>
      </c>
      <c r="G151" s="540">
        <f t="shared" si="102"/>
        <v>0</v>
      </c>
      <c r="H151" s="541">
        <f t="shared" si="103"/>
        <v>0</v>
      </c>
      <c r="I151" s="875"/>
      <c r="J151" s="876"/>
      <c r="K151" s="876"/>
      <c r="L151" s="1060"/>
      <c r="M151" s="540"/>
      <c r="N151" s="541">
        <f t="shared" si="104"/>
        <v>0</v>
      </c>
      <c r="O151" s="875"/>
      <c r="P151" s="876"/>
      <c r="Q151" s="877"/>
      <c r="R151" s="540"/>
      <c r="S151" s="558">
        <f t="shared" si="105"/>
        <v>0</v>
      </c>
      <c r="T151" s="559">
        <f t="shared" si="106"/>
        <v>0</v>
      </c>
      <c r="U151" s="875"/>
      <c r="V151" s="878"/>
      <c r="W151" s="878"/>
      <c r="X151" s="878"/>
      <c r="Y151" s="879"/>
      <c r="Z151" s="540"/>
      <c r="AA151" s="559">
        <f t="shared" si="107"/>
        <v>0</v>
      </c>
      <c r="AB151" s="882"/>
      <c r="AC151" s="878"/>
      <c r="AD151" s="879"/>
      <c r="AE151" s="540"/>
    </row>
    <row r="152" spans="1:32" s="1118" customFormat="1">
      <c r="A152" s="1192" t="str">
        <f>+$C$204&amp;". "&amp;$F$204</f>
        <v>12. HKK kiadásainak felülvizsgálata</v>
      </c>
      <c r="B152" s="1193"/>
      <c r="C152" s="1193"/>
      <c r="D152" s="1193"/>
      <c r="E152" s="1193"/>
      <c r="F152" s="1194"/>
      <c r="G152" s="1111">
        <f t="shared" ref="G152" si="108">+H152+M152+N152+R152</f>
        <v>0</v>
      </c>
      <c r="H152" s="1112">
        <f t="shared" ref="H152" si="109">+I152+J152+K152+L152</f>
        <v>0</v>
      </c>
      <c r="I152" s="931"/>
      <c r="J152" s="932"/>
      <c r="K152" s="932"/>
      <c r="L152" s="1113"/>
      <c r="M152" s="1111"/>
      <c r="N152" s="1112">
        <f t="shared" ref="N152" si="110">+O152+P152+Q152</f>
        <v>0</v>
      </c>
      <c r="O152" s="931"/>
      <c r="P152" s="932"/>
      <c r="Q152" s="933"/>
      <c r="R152" s="1111"/>
      <c r="S152" s="1111">
        <f t="shared" ref="S152" si="111">+T152+Z152+AA152+AE152</f>
        <v>-612</v>
      </c>
      <c r="T152" s="1112">
        <f t="shared" ref="T152" si="112">+U152+V152+W152+X152+Y152</f>
        <v>-41</v>
      </c>
      <c r="U152" s="931"/>
      <c r="V152" s="1119"/>
      <c r="W152" s="1119">
        <f>-26-15</f>
        <v>-41</v>
      </c>
      <c r="X152" s="1119"/>
      <c r="Y152" s="1120"/>
      <c r="Z152" s="1111"/>
      <c r="AA152" s="1112">
        <f t="shared" ref="AA152" si="113">+AB152+AC152+AD152</f>
        <v>-571</v>
      </c>
      <c r="AB152" s="1121">
        <f>-508-63</f>
        <v>-571</v>
      </c>
      <c r="AC152" s="1119"/>
      <c r="AD152" s="1120"/>
      <c r="AE152" s="1111"/>
      <c r="AF152" s="1117">
        <f>-G152+S152</f>
        <v>-612</v>
      </c>
    </row>
    <row r="153" spans="1:32">
      <c r="A153" s="618">
        <f>+A151+1</f>
        <v>107</v>
      </c>
      <c r="B153" s="946">
        <v>24</v>
      </c>
      <c r="C153" s="396" t="s">
        <v>1093</v>
      </c>
      <c r="D153" s="1062" t="s">
        <v>1094</v>
      </c>
      <c r="E153" s="1320" t="s">
        <v>1244</v>
      </c>
      <c r="F153" s="1065" t="s">
        <v>1096</v>
      </c>
      <c r="G153" s="540">
        <f t="shared" si="102"/>
        <v>0</v>
      </c>
      <c r="H153" s="541">
        <f t="shared" si="103"/>
        <v>0</v>
      </c>
      <c r="I153" s="875"/>
      <c r="J153" s="876"/>
      <c r="K153" s="876"/>
      <c r="L153" s="1060"/>
      <c r="M153" s="540"/>
      <c r="N153" s="541">
        <f t="shared" si="104"/>
        <v>0</v>
      </c>
      <c r="O153" s="875"/>
      <c r="P153" s="876"/>
      <c r="Q153" s="877"/>
      <c r="R153" s="540"/>
      <c r="S153" s="558">
        <f t="shared" si="105"/>
        <v>0</v>
      </c>
      <c r="T153" s="559">
        <f t="shared" si="106"/>
        <v>0</v>
      </c>
      <c r="U153" s="875"/>
      <c r="V153" s="878"/>
      <c r="W153" s="878"/>
      <c r="X153" s="878"/>
      <c r="Y153" s="879"/>
      <c r="Z153" s="540"/>
      <c r="AA153" s="559">
        <f t="shared" si="107"/>
        <v>0</v>
      </c>
      <c r="AB153" s="882"/>
      <c r="AC153" s="878"/>
      <c r="AD153" s="879"/>
      <c r="AE153" s="540"/>
    </row>
    <row r="154" spans="1:32" s="1118" customFormat="1">
      <c r="A154" s="1192" t="str">
        <f>+$C$204&amp;". "&amp;$F$204</f>
        <v>12. HKK kiadásainak felülvizsgálata</v>
      </c>
      <c r="B154" s="1193"/>
      <c r="C154" s="1193"/>
      <c r="D154" s="1193"/>
      <c r="E154" s="1193"/>
      <c r="F154" s="1194"/>
      <c r="G154" s="1111">
        <f t="shared" si="102"/>
        <v>0</v>
      </c>
      <c r="H154" s="1112">
        <f t="shared" si="103"/>
        <v>0</v>
      </c>
      <c r="I154" s="931"/>
      <c r="J154" s="932"/>
      <c r="K154" s="932"/>
      <c r="L154" s="1113"/>
      <c r="M154" s="1111"/>
      <c r="N154" s="1112">
        <f t="shared" si="104"/>
        <v>0</v>
      </c>
      <c r="O154" s="931"/>
      <c r="P154" s="932"/>
      <c r="Q154" s="933"/>
      <c r="R154" s="1111"/>
      <c r="S154" s="1111">
        <f t="shared" si="105"/>
        <v>-5389</v>
      </c>
      <c r="T154" s="1112">
        <f t="shared" si="106"/>
        <v>-2052</v>
      </c>
      <c r="U154" s="931"/>
      <c r="V154" s="1119"/>
      <c r="W154" s="1119">
        <f>-127-51-254-1600-20</f>
        <v>-2052</v>
      </c>
      <c r="X154" s="1119"/>
      <c r="Y154" s="1120"/>
      <c r="Z154" s="1111"/>
      <c r="AA154" s="1112">
        <f t="shared" si="107"/>
        <v>-3337</v>
      </c>
      <c r="AB154" s="1121">
        <f>-570-114-2653</f>
        <v>-3337</v>
      </c>
      <c r="AC154" s="1119"/>
      <c r="AD154" s="1120"/>
      <c r="AE154" s="1111"/>
      <c r="AF154" s="1117">
        <f>-G154+S154</f>
        <v>-5389</v>
      </c>
    </row>
    <row r="155" spans="1:32" ht="12.75" thickBot="1">
      <c r="A155" s="618">
        <f>+A153+1</f>
        <v>108</v>
      </c>
      <c r="B155" s="945">
        <v>24</v>
      </c>
      <c r="C155" s="393" t="s">
        <v>1002</v>
      </c>
      <c r="D155" s="1068" t="s">
        <v>1003</v>
      </c>
      <c r="E155" s="1321" t="s">
        <v>1225</v>
      </c>
      <c r="F155" s="1069" t="s">
        <v>1089</v>
      </c>
      <c r="G155" s="540">
        <f t="shared" si="102"/>
        <v>0</v>
      </c>
      <c r="H155" s="541">
        <f t="shared" si="103"/>
        <v>0</v>
      </c>
      <c r="I155" s="875"/>
      <c r="J155" s="876"/>
      <c r="K155" s="876"/>
      <c r="L155" s="1060"/>
      <c r="M155" s="540"/>
      <c r="N155" s="541">
        <f t="shared" si="104"/>
        <v>0</v>
      </c>
      <c r="O155" s="875"/>
      <c r="P155" s="876"/>
      <c r="Q155" s="877"/>
      <c r="R155" s="540"/>
      <c r="S155" s="558">
        <f t="shared" si="105"/>
        <v>0</v>
      </c>
      <c r="T155" s="559">
        <f t="shared" si="106"/>
        <v>0</v>
      </c>
      <c r="U155" s="875"/>
      <c r="V155" s="878"/>
      <c r="W155" s="878"/>
      <c r="X155" s="878"/>
      <c r="Y155" s="879"/>
      <c r="Z155" s="540"/>
      <c r="AA155" s="559">
        <f t="shared" si="107"/>
        <v>0</v>
      </c>
      <c r="AB155" s="882"/>
      <c r="AC155" s="878"/>
      <c r="AD155" s="879"/>
      <c r="AE155" s="540"/>
    </row>
    <row r="156" spans="1:32" s="549" customFormat="1" ht="12.75" thickBot="1">
      <c r="A156" s="614" t="s">
        <v>750</v>
      </c>
      <c r="B156" s="948"/>
      <c r="C156" s="1204" t="s">
        <v>420</v>
      </c>
      <c r="D156" s="1205"/>
      <c r="E156" s="1205"/>
      <c r="F156" s="1206"/>
      <c r="G156" s="566">
        <f t="shared" ref="G156:AE156" si="114">SUM(G148:G155)</f>
        <v>0</v>
      </c>
      <c r="H156" s="477">
        <f t="shared" si="114"/>
        <v>0</v>
      </c>
      <c r="I156" s="567">
        <f t="shared" si="114"/>
        <v>0</v>
      </c>
      <c r="J156" s="404">
        <f t="shared" si="114"/>
        <v>0</v>
      </c>
      <c r="K156" s="404">
        <f t="shared" si="114"/>
        <v>0</v>
      </c>
      <c r="L156" s="1071">
        <f t="shared" si="114"/>
        <v>0</v>
      </c>
      <c r="M156" s="566">
        <f t="shared" si="114"/>
        <v>0</v>
      </c>
      <c r="N156" s="566">
        <f t="shared" si="114"/>
        <v>0</v>
      </c>
      <c r="O156" s="567">
        <f t="shared" si="114"/>
        <v>0</v>
      </c>
      <c r="P156" s="404">
        <f t="shared" si="114"/>
        <v>0</v>
      </c>
      <c r="Q156" s="391">
        <f t="shared" si="114"/>
        <v>0</v>
      </c>
      <c r="R156" s="566">
        <f t="shared" si="114"/>
        <v>0</v>
      </c>
      <c r="S156" s="566">
        <f t="shared" si="114"/>
        <v>-6655</v>
      </c>
      <c r="T156" s="566">
        <f t="shared" si="114"/>
        <v>-2430</v>
      </c>
      <c r="U156" s="567">
        <f t="shared" si="114"/>
        <v>0</v>
      </c>
      <c r="V156" s="404">
        <f t="shared" si="114"/>
        <v>0</v>
      </c>
      <c r="W156" s="404">
        <f t="shared" si="114"/>
        <v>-2430</v>
      </c>
      <c r="X156" s="404">
        <f t="shared" si="114"/>
        <v>0</v>
      </c>
      <c r="Y156" s="391">
        <f t="shared" si="114"/>
        <v>0</v>
      </c>
      <c r="Z156" s="566">
        <f t="shared" si="114"/>
        <v>0</v>
      </c>
      <c r="AA156" s="477">
        <f t="shared" si="114"/>
        <v>-4225</v>
      </c>
      <c r="AB156" s="567">
        <f t="shared" si="114"/>
        <v>-4225</v>
      </c>
      <c r="AC156" s="404">
        <f t="shared" si="114"/>
        <v>0</v>
      </c>
      <c r="AD156" s="391">
        <f t="shared" si="114"/>
        <v>0</v>
      </c>
      <c r="AE156" s="566">
        <f t="shared" si="114"/>
        <v>0</v>
      </c>
    </row>
    <row r="157" spans="1:32" s="553" customFormat="1" ht="12.75" customHeight="1" thickBot="1">
      <c r="A157" s="620">
        <f>A155+1</f>
        <v>109</v>
      </c>
      <c r="B157" s="953">
        <v>26</v>
      </c>
      <c r="C157" s="393" t="s">
        <v>19</v>
      </c>
      <c r="D157" s="1068" t="s">
        <v>19</v>
      </c>
      <c r="E157" s="1321" t="s">
        <v>19</v>
      </c>
      <c r="F157" s="1069" t="s">
        <v>19</v>
      </c>
      <c r="G157" s="590">
        <f>+H157+N157</f>
        <v>0</v>
      </c>
      <c r="H157" s="485">
        <f>+I157+J157+K157+L157</f>
        <v>0</v>
      </c>
      <c r="I157" s="893"/>
      <c r="J157" s="890"/>
      <c r="K157" s="890"/>
      <c r="L157" s="1084"/>
      <c r="M157" s="590"/>
      <c r="N157" s="485">
        <f>+O157+P157+Q157</f>
        <v>0</v>
      </c>
      <c r="O157" s="893"/>
      <c r="P157" s="890"/>
      <c r="Q157" s="891"/>
      <c r="R157" s="590"/>
      <c r="S157" s="590">
        <f>+T157+Z157+AA157+AE157</f>
        <v>0</v>
      </c>
      <c r="T157" s="485">
        <f>+U157+V157+W157+X157+Y157</f>
        <v>0</v>
      </c>
      <c r="U157" s="893"/>
      <c r="V157" s="890"/>
      <c r="W157" s="890"/>
      <c r="X157" s="890"/>
      <c r="Y157" s="891"/>
      <c r="Z157" s="590"/>
      <c r="AA157" s="485">
        <f>+AB157+AC157+AD157</f>
        <v>0</v>
      </c>
      <c r="AB157" s="893"/>
      <c r="AC157" s="890"/>
      <c r="AD157" s="891"/>
      <c r="AE157" s="590"/>
    </row>
    <row r="158" spans="1:32" s="549" customFormat="1" ht="12.75" thickBot="1">
      <c r="A158" s="614" t="s">
        <v>633</v>
      </c>
      <c r="B158" s="948"/>
      <c r="C158" s="1204" t="s">
        <v>752</v>
      </c>
      <c r="D158" s="1205"/>
      <c r="E158" s="1205"/>
      <c r="F158" s="1206"/>
      <c r="G158" s="566">
        <f>SUM(G157)</f>
        <v>0</v>
      </c>
      <c r="H158" s="477">
        <f t="shared" ref="H158:R160" si="115">SUM(H157)</f>
        <v>0</v>
      </c>
      <c r="I158" s="567">
        <f t="shared" si="115"/>
        <v>0</v>
      </c>
      <c r="J158" s="404">
        <f t="shared" si="115"/>
        <v>0</v>
      </c>
      <c r="K158" s="404">
        <f t="shared" si="115"/>
        <v>0</v>
      </c>
      <c r="L158" s="1071">
        <f t="shared" si="115"/>
        <v>0</v>
      </c>
      <c r="M158" s="566">
        <f>SUM(M157)</f>
        <v>0</v>
      </c>
      <c r="N158" s="566">
        <f t="shared" si="115"/>
        <v>0</v>
      </c>
      <c r="O158" s="567">
        <f t="shared" si="115"/>
        <v>0</v>
      </c>
      <c r="P158" s="404">
        <f t="shared" si="115"/>
        <v>0</v>
      </c>
      <c r="Q158" s="391">
        <f t="shared" si="115"/>
        <v>0</v>
      </c>
      <c r="R158" s="566">
        <f t="shared" si="115"/>
        <v>0</v>
      </c>
      <c r="S158" s="566">
        <f>SUM(S157)</f>
        <v>0</v>
      </c>
      <c r="T158" s="566">
        <f t="shared" ref="T158:AD160" si="116">SUM(T157)</f>
        <v>0</v>
      </c>
      <c r="U158" s="567">
        <f t="shared" si="116"/>
        <v>0</v>
      </c>
      <c r="V158" s="404">
        <f t="shared" si="116"/>
        <v>0</v>
      </c>
      <c r="W158" s="404">
        <f t="shared" si="116"/>
        <v>0</v>
      </c>
      <c r="X158" s="404">
        <f t="shared" si="116"/>
        <v>0</v>
      </c>
      <c r="Y158" s="391">
        <f t="shared" si="116"/>
        <v>0</v>
      </c>
      <c r="Z158" s="566">
        <f t="shared" si="116"/>
        <v>0</v>
      </c>
      <c r="AA158" s="477">
        <f t="shared" si="116"/>
        <v>0</v>
      </c>
      <c r="AB158" s="567">
        <f t="shared" si="116"/>
        <v>0</v>
      </c>
      <c r="AC158" s="404">
        <f t="shared" si="116"/>
        <v>0</v>
      </c>
      <c r="AD158" s="391">
        <f t="shared" si="116"/>
        <v>0</v>
      </c>
      <c r="AE158" s="566">
        <f>SUM(AE157)</f>
        <v>0</v>
      </c>
    </row>
    <row r="159" spans="1:32" s="553" customFormat="1" ht="12.75" customHeight="1" thickBot="1">
      <c r="A159" s="620">
        <f>+A157+1</f>
        <v>110</v>
      </c>
      <c r="B159" s="953">
        <v>27</v>
      </c>
      <c r="C159" s="393" t="s">
        <v>19</v>
      </c>
      <c r="D159" s="1068" t="s">
        <v>19</v>
      </c>
      <c r="E159" s="1321" t="s">
        <v>19</v>
      </c>
      <c r="F159" s="1069" t="s">
        <v>19</v>
      </c>
      <c r="G159" s="590">
        <f>+H159+N159</f>
        <v>0</v>
      </c>
      <c r="H159" s="485">
        <f>+I159+J159+K159+L159</f>
        <v>0</v>
      </c>
      <c r="I159" s="893"/>
      <c r="J159" s="890"/>
      <c r="K159" s="890"/>
      <c r="L159" s="1084"/>
      <c r="M159" s="590"/>
      <c r="N159" s="485">
        <f>+O159+P159+Q159</f>
        <v>0</v>
      </c>
      <c r="O159" s="893"/>
      <c r="P159" s="890"/>
      <c r="Q159" s="891"/>
      <c r="R159" s="590"/>
      <c r="S159" s="590">
        <f>+T159+Z159+AA159+AE159</f>
        <v>0</v>
      </c>
      <c r="T159" s="485">
        <f>+U159+V159+W159+X159+Y159</f>
        <v>0</v>
      </c>
      <c r="U159" s="893"/>
      <c r="V159" s="890"/>
      <c r="W159" s="890"/>
      <c r="X159" s="890"/>
      <c r="Y159" s="891"/>
      <c r="Z159" s="590"/>
      <c r="AA159" s="485">
        <f>+AB159+AC159+AD159</f>
        <v>0</v>
      </c>
      <c r="AB159" s="893"/>
      <c r="AC159" s="890"/>
      <c r="AD159" s="891"/>
      <c r="AE159" s="590"/>
    </row>
    <row r="160" spans="1:32" s="549" customFormat="1" ht="12.75" thickBot="1">
      <c r="A160" s="614" t="s">
        <v>751</v>
      </c>
      <c r="B160" s="948"/>
      <c r="C160" s="1204" t="s">
        <v>767</v>
      </c>
      <c r="D160" s="1205"/>
      <c r="E160" s="1205"/>
      <c r="F160" s="1206"/>
      <c r="G160" s="566">
        <f>SUM(G159)</f>
        <v>0</v>
      </c>
      <c r="H160" s="477">
        <f t="shared" si="115"/>
        <v>0</v>
      </c>
      <c r="I160" s="567">
        <f t="shared" si="115"/>
        <v>0</v>
      </c>
      <c r="J160" s="404">
        <f t="shared" si="115"/>
        <v>0</v>
      </c>
      <c r="K160" s="404">
        <f t="shared" si="115"/>
        <v>0</v>
      </c>
      <c r="L160" s="1071">
        <f t="shared" si="115"/>
        <v>0</v>
      </c>
      <c r="M160" s="566">
        <f>SUM(M159)</f>
        <v>0</v>
      </c>
      <c r="N160" s="566">
        <f t="shared" si="115"/>
        <v>0</v>
      </c>
      <c r="O160" s="567">
        <f t="shared" si="115"/>
        <v>0</v>
      </c>
      <c r="P160" s="404">
        <f t="shared" si="115"/>
        <v>0</v>
      </c>
      <c r="Q160" s="391">
        <f t="shared" si="115"/>
        <v>0</v>
      </c>
      <c r="R160" s="566">
        <f t="shared" si="115"/>
        <v>0</v>
      </c>
      <c r="S160" s="566">
        <f>SUM(S159)</f>
        <v>0</v>
      </c>
      <c r="T160" s="566">
        <f t="shared" si="116"/>
        <v>0</v>
      </c>
      <c r="U160" s="567">
        <f t="shared" si="116"/>
        <v>0</v>
      </c>
      <c r="V160" s="404">
        <f t="shared" si="116"/>
        <v>0</v>
      </c>
      <c r="W160" s="404">
        <f t="shared" si="116"/>
        <v>0</v>
      </c>
      <c r="X160" s="404">
        <f t="shared" si="116"/>
        <v>0</v>
      </c>
      <c r="Y160" s="391">
        <f t="shared" si="116"/>
        <v>0</v>
      </c>
      <c r="Z160" s="566">
        <f t="shared" si="116"/>
        <v>0</v>
      </c>
      <c r="AA160" s="477">
        <f t="shared" si="116"/>
        <v>0</v>
      </c>
      <c r="AB160" s="567">
        <f t="shared" si="116"/>
        <v>0</v>
      </c>
      <c r="AC160" s="404">
        <f t="shared" si="116"/>
        <v>0</v>
      </c>
      <c r="AD160" s="391">
        <f t="shared" si="116"/>
        <v>0</v>
      </c>
      <c r="AE160" s="566">
        <f>SUM(AE159)</f>
        <v>0</v>
      </c>
    </row>
    <row r="161" spans="1:32" s="549" customFormat="1" ht="12.75" thickBot="1">
      <c r="A161" s="615" t="s">
        <v>20</v>
      </c>
      <c r="B161" s="949"/>
      <c r="C161" s="1201" t="s">
        <v>422</v>
      </c>
      <c r="D161" s="1202"/>
      <c r="E161" s="1202"/>
      <c r="F161" s="1203"/>
      <c r="G161" s="569">
        <f>+G156+G158+G160</f>
        <v>0</v>
      </c>
      <c r="H161" s="572">
        <f t="shared" ref="H161:R161" si="117">+H156+H158+H160</f>
        <v>0</v>
      </c>
      <c r="I161" s="586">
        <f t="shared" si="117"/>
        <v>0</v>
      </c>
      <c r="J161" s="587">
        <f t="shared" si="117"/>
        <v>0</v>
      </c>
      <c r="K161" s="587">
        <f t="shared" si="117"/>
        <v>0</v>
      </c>
      <c r="L161" s="1085">
        <f t="shared" si="117"/>
        <v>0</v>
      </c>
      <c r="M161" s="569">
        <f>+M156+M158+M160</f>
        <v>0</v>
      </c>
      <c r="N161" s="572">
        <f t="shared" si="117"/>
        <v>0</v>
      </c>
      <c r="O161" s="586">
        <f t="shared" si="117"/>
        <v>0</v>
      </c>
      <c r="P161" s="587">
        <f t="shared" si="117"/>
        <v>0</v>
      </c>
      <c r="Q161" s="588">
        <f t="shared" si="117"/>
        <v>0</v>
      </c>
      <c r="R161" s="569">
        <f t="shared" si="117"/>
        <v>0</v>
      </c>
      <c r="S161" s="569">
        <f>+S156+S158+S160</f>
        <v>-6655</v>
      </c>
      <c r="T161" s="607">
        <f t="shared" ref="T161:AD161" si="118">+T156+T158+T160</f>
        <v>-2430</v>
      </c>
      <c r="U161" s="570">
        <f t="shared" si="118"/>
        <v>0</v>
      </c>
      <c r="V161" s="571">
        <f t="shared" si="118"/>
        <v>0</v>
      </c>
      <c r="W161" s="571">
        <f t="shared" si="118"/>
        <v>-2430</v>
      </c>
      <c r="X161" s="571">
        <f t="shared" si="118"/>
        <v>0</v>
      </c>
      <c r="Y161" s="572">
        <f t="shared" si="118"/>
        <v>0</v>
      </c>
      <c r="Z161" s="569">
        <f t="shared" si="118"/>
        <v>0</v>
      </c>
      <c r="AA161" s="608">
        <f t="shared" si="118"/>
        <v>-4225</v>
      </c>
      <c r="AB161" s="570">
        <f t="shared" si="118"/>
        <v>-4225</v>
      </c>
      <c r="AC161" s="571">
        <f t="shared" si="118"/>
        <v>0</v>
      </c>
      <c r="AD161" s="572">
        <f t="shared" si="118"/>
        <v>0</v>
      </c>
      <c r="AE161" s="569">
        <f>+AE156+AE158+AE160</f>
        <v>0</v>
      </c>
    </row>
    <row r="162" spans="1:32" s="549" customFormat="1" ht="12.75" thickBot="1">
      <c r="A162" s="614"/>
      <c r="B162" s="952"/>
      <c r="C162" s="392"/>
      <c r="D162" s="613"/>
      <c r="E162" s="1325"/>
      <c r="F162" s="565"/>
      <c r="G162" s="566"/>
      <c r="H162" s="477"/>
      <c r="I162" s="567"/>
      <c r="J162" s="404"/>
      <c r="K162" s="404"/>
      <c r="L162" s="1071"/>
      <c r="M162" s="566"/>
      <c r="N162" s="477"/>
      <c r="O162" s="567"/>
      <c r="P162" s="404"/>
      <c r="Q162" s="391"/>
      <c r="R162" s="566"/>
      <c r="S162" s="566"/>
      <c r="T162" s="477"/>
      <c r="U162" s="977"/>
      <c r="V162" s="978"/>
      <c r="W162" s="978"/>
      <c r="X162" s="978"/>
      <c r="Y162" s="979"/>
      <c r="Z162" s="566"/>
      <c r="AA162" s="477"/>
      <c r="AB162" s="977"/>
      <c r="AC162" s="978"/>
      <c r="AD162" s="979"/>
      <c r="AE162" s="566"/>
    </row>
    <row r="163" spans="1:32" s="553" customFormat="1" ht="12.75" customHeight="1" thickBot="1">
      <c r="A163" s="618">
        <f>A159+1</f>
        <v>111</v>
      </c>
      <c r="B163" s="946">
        <v>28</v>
      </c>
      <c r="C163" s="393" t="s">
        <v>19</v>
      </c>
      <c r="D163" s="1068" t="s">
        <v>19</v>
      </c>
      <c r="E163" s="1321" t="s">
        <v>19</v>
      </c>
      <c r="F163" s="1069" t="s">
        <v>19</v>
      </c>
      <c r="G163" s="540">
        <f>+H163+M163+N163+R163</f>
        <v>0</v>
      </c>
      <c r="H163" s="541">
        <f>+I163+J163+K163+L163</f>
        <v>0</v>
      </c>
      <c r="I163" s="875"/>
      <c r="J163" s="878"/>
      <c r="K163" s="878"/>
      <c r="L163" s="1070"/>
      <c r="M163" s="540"/>
      <c r="N163" s="541">
        <f>+O163+P163+Q163</f>
        <v>0</v>
      </c>
      <c r="O163" s="882"/>
      <c r="P163" s="878"/>
      <c r="Q163" s="879"/>
      <c r="R163" s="540"/>
      <c r="S163" s="540">
        <f>+T163+Z163+AA163+AE163</f>
        <v>0</v>
      </c>
      <c r="T163" s="541">
        <f>+U163+V163+W163+X163+Y163</f>
        <v>0</v>
      </c>
      <c r="U163" s="875"/>
      <c r="V163" s="876"/>
      <c r="W163" s="876"/>
      <c r="X163" s="876"/>
      <c r="Y163" s="877"/>
      <c r="Z163" s="540"/>
      <c r="AA163" s="541">
        <f>+AB163+AC163+AD163</f>
        <v>0</v>
      </c>
      <c r="AB163" s="875"/>
      <c r="AC163" s="876"/>
      <c r="AD163" s="877"/>
      <c r="AE163" s="540"/>
    </row>
    <row r="164" spans="1:32" s="549" customFormat="1" ht="12.75" thickBot="1">
      <c r="A164" s="614" t="s">
        <v>885</v>
      </c>
      <c r="B164" s="948"/>
      <c r="C164" s="1204" t="s">
        <v>860</v>
      </c>
      <c r="D164" s="1205"/>
      <c r="E164" s="1205"/>
      <c r="F164" s="1206"/>
      <c r="G164" s="566">
        <f>SUM(G163)</f>
        <v>0</v>
      </c>
      <c r="H164" s="477">
        <f t="shared" ref="H164:R164" si="119">SUM(H163)</f>
        <v>0</v>
      </c>
      <c r="I164" s="567">
        <f t="shared" si="119"/>
        <v>0</v>
      </c>
      <c r="J164" s="404">
        <f t="shared" si="119"/>
        <v>0</v>
      </c>
      <c r="K164" s="404">
        <f t="shared" si="119"/>
        <v>0</v>
      </c>
      <c r="L164" s="1071">
        <f t="shared" si="119"/>
        <v>0</v>
      </c>
      <c r="M164" s="566">
        <f>SUM(M163)</f>
        <v>0</v>
      </c>
      <c r="N164" s="566">
        <f t="shared" si="119"/>
        <v>0</v>
      </c>
      <c r="O164" s="567">
        <f t="shared" si="119"/>
        <v>0</v>
      </c>
      <c r="P164" s="404">
        <f t="shared" si="119"/>
        <v>0</v>
      </c>
      <c r="Q164" s="391">
        <f t="shared" si="119"/>
        <v>0</v>
      </c>
      <c r="R164" s="566">
        <f t="shared" si="119"/>
        <v>0</v>
      </c>
      <c r="S164" s="566">
        <f>SUM(S163)</f>
        <v>0</v>
      </c>
      <c r="T164" s="566">
        <f t="shared" ref="T164:AD164" si="120">SUM(T163)</f>
        <v>0</v>
      </c>
      <c r="U164" s="567">
        <f t="shared" si="120"/>
        <v>0</v>
      </c>
      <c r="V164" s="404">
        <f t="shared" si="120"/>
        <v>0</v>
      </c>
      <c r="W164" s="404">
        <f t="shared" si="120"/>
        <v>0</v>
      </c>
      <c r="X164" s="404">
        <f t="shared" si="120"/>
        <v>0</v>
      </c>
      <c r="Y164" s="391">
        <f t="shared" si="120"/>
        <v>0</v>
      </c>
      <c r="Z164" s="566">
        <f t="shared" si="120"/>
        <v>0</v>
      </c>
      <c r="AA164" s="477">
        <f t="shared" si="120"/>
        <v>0</v>
      </c>
      <c r="AB164" s="567">
        <f t="shared" si="120"/>
        <v>0</v>
      </c>
      <c r="AC164" s="404">
        <f t="shared" si="120"/>
        <v>0</v>
      </c>
      <c r="AD164" s="391">
        <f t="shared" si="120"/>
        <v>0</v>
      </c>
      <c r="AE164" s="566">
        <f>SUM(AE163)</f>
        <v>0</v>
      </c>
    </row>
    <row r="165" spans="1:32" s="553" customFormat="1" ht="12.75" customHeight="1">
      <c r="A165" s="1002">
        <f>A163+1</f>
        <v>112</v>
      </c>
      <c r="B165" s="951">
        <v>29</v>
      </c>
      <c r="C165" s="398" t="s">
        <v>1073</v>
      </c>
      <c r="D165" s="1077" t="s">
        <v>1074</v>
      </c>
      <c r="E165" s="1324" t="s">
        <v>1225</v>
      </c>
      <c r="F165" s="1059" t="s">
        <v>1074</v>
      </c>
      <c r="G165" s="538">
        <f t="shared" ref="G165:G168" si="121">+H165+M165+N165+R165</f>
        <v>0</v>
      </c>
      <c r="H165" s="539">
        <f t="shared" ref="H165:H168" si="122">+I165+J165+K165+L165</f>
        <v>0</v>
      </c>
      <c r="I165" s="884"/>
      <c r="J165" s="885"/>
      <c r="K165" s="885"/>
      <c r="L165" s="1078"/>
      <c r="M165" s="538"/>
      <c r="N165" s="539">
        <f t="shared" ref="N165:N168" si="123">+O165+P165+Q165</f>
        <v>0</v>
      </c>
      <c r="O165" s="884"/>
      <c r="P165" s="885"/>
      <c r="Q165" s="886"/>
      <c r="R165" s="538"/>
      <c r="S165" s="538">
        <f t="shared" ref="S165:S168" si="124">+T165+Z165+AA165+AE165</f>
        <v>0</v>
      </c>
      <c r="T165" s="539">
        <f t="shared" ref="T165:T168" si="125">+U165+V165+W165+X165+Y165</f>
        <v>0</v>
      </c>
      <c r="U165" s="884"/>
      <c r="V165" s="885"/>
      <c r="W165" s="885"/>
      <c r="X165" s="885"/>
      <c r="Y165" s="886"/>
      <c r="Z165" s="538"/>
      <c r="AA165" s="539">
        <f t="shared" ref="AA165:AA168" si="126">+AB165+AC165+AD165</f>
        <v>0</v>
      </c>
      <c r="AB165" s="884"/>
      <c r="AC165" s="885"/>
      <c r="AD165" s="886"/>
      <c r="AE165" s="538"/>
    </row>
    <row r="166" spans="1:32" s="1118" customFormat="1">
      <c r="A166" s="1192" t="str">
        <f>+$C$205&amp;". "&amp;$F$205</f>
        <v>13. MŐSZ kiadásainak felülvizsgálata</v>
      </c>
      <c r="B166" s="1193"/>
      <c r="C166" s="1193"/>
      <c r="D166" s="1193"/>
      <c r="E166" s="1193"/>
      <c r="F166" s="1194"/>
      <c r="G166" s="1111">
        <f t="shared" si="121"/>
        <v>0</v>
      </c>
      <c r="H166" s="1112">
        <f t="shared" si="122"/>
        <v>0</v>
      </c>
      <c r="I166" s="931"/>
      <c r="J166" s="932"/>
      <c r="K166" s="932"/>
      <c r="L166" s="1113"/>
      <c r="M166" s="1111"/>
      <c r="N166" s="1112">
        <f t="shared" si="123"/>
        <v>0</v>
      </c>
      <c r="O166" s="931"/>
      <c r="P166" s="932"/>
      <c r="Q166" s="933"/>
      <c r="R166" s="1111"/>
      <c r="S166" s="1111">
        <f t="shared" si="124"/>
        <v>-2040</v>
      </c>
      <c r="T166" s="1112">
        <f t="shared" si="125"/>
        <v>-40</v>
      </c>
      <c r="U166" s="931">
        <v>-30</v>
      </c>
      <c r="V166" s="1119">
        <v>-10</v>
      </c>
      <c r="W166" s="1119"/>
      <c r="X166" s="1119"/>
      <c r="Y166" s="1120"/>
      <c r="Z166" s="1111"/>
      <c r="AA166" s="1112">
        <f t="shared" si="126"/>
        <v>-2000</v>
      </c>
      <c r="AB166" s="1121">
        <v>-2000</v>
      </c>
      <c r="AC166" s="1119"/>
      <c r="AD166" s="1120"/>
      <c r="AE166" s="1111"/>
      <c r="AF166" s="1117">
        <f>-G166+S166</f>
        <v>-2040</v>
      </c>
    </row>
    <row r="167" spans="1:32" s="553" customFormat="1" ht="12.75" customHeight="1">
      <c r="A167" s="619">
        <f>A165+1</f>
        <v>113</v>
      </c>
      <c r="B167" s="945">
        <v>29</v>
      </c>
      <c r="C167" s="503" t="s">
        <v>1002</v>
      </c>
      <c r="D167" s="611" t="s">
        <v>1003</v>
      </c>
      <c r="E167" s="1326" t="s">
        <v>1225</v>
      </c>
      <c r="F167" s="1083" t="s">
        <v>1074</v>
      </c>
      <c r="G167" s="540">
        <f t="shared" si="121"/>
        <v>0</v>
      </c>
      <c r="H167" s="541">
        <f t="shared" si="122"/>
        <v>0</v>
      </c>
      <c r="I167" s="875"/>
      <c r="J167" s="876"/>
      <c r="K167" s="876"/>
      <c r="L167" s="1060"/>
      <c r="M167" s="540"/>
      <c r="N167" s="541">
        <f t="shared" si="123"/>
        <v>0</v>
      </c>
      <c r="O167" s="875"/>
      <c r="P167" s="876"/>
      <c r="Q167" s="877"/>
      <c r="R167" s="540"/>
      <c r="S167" s="540">
        <f t="shared" si="124"/>
        <v>0</v>
      </c>
      <c r="T167" s="541">
        <f t="shared" si="125"/>
        <v>0</v>
      </c>
      <c r="U167" s="875"/>
      <c r="V167" s="876"/>
      <c r="W167" s="876"/>
      <c r="X167" s="876"/>
      <c r="Y167" s="877"/>
      <c r="Z167" s="540"/>
      <c r="AA167" s="541">
        <f t="shared" si="126"/>
        <v>0</v>
      </c>
      <c r="AB167" s="875"/>
      <c r="AC167" s="876"/>
      <c r="AD167" s="877"/>
      <c r="AE167" s="540"/>
    </row>
    <row r="168" spans="1:32" s="1118" customFormat="1" ht="12.75" thickBot="1">
      <c r="A168" s="1189" t="str">
        <f>+$C$206&amp;". "&amp;$F$206</f>
        <v>14. MŐSZ negatív finanszírozás rendezése</v>
      </c>
      <c r="B168" s="1190"/>
      <c r="C168" s="1190"/>
      <c r="D168" s="1190"/>
      <c r="E168" s="1190"/>
      <c r="F168" s="1191"/>
      <c r="G168" s="1111">
        <f t="shared" si="121"/>
        <v>0</v>
      </c>
      <c r="H168" s="1112">
        <f t="shared" si="122"/>
        <v>0</v>
      </c>
      <c r="I168" s="931"/>
      <c r="J168" s="932"/>
      <c r="K168" s="932"/>
      <c r="L168" s="1113"/>
      <c r="M168" s="1111"/>
      <c r="N168" s="1112">
        <f t="shared" si="123"/>
        <v>0</v>
      </c>
      <c r="O168" s="931"/>
      <c r="P168" s="932"/>
      <c r="Q168" s="933"/>
      <c r="R168" s="1111"/>
      <c r="S168" s="1111">
        <f t="shared" si="124"/>
        <v>2040</v>
      </c>
      <c r="T168" s="1112">
        <f t="shared" si="125"/>
        <v>2040</v>
      </c>
      <c r="U168" s="931"/>
      <c r="V168" s="1119"/>
      <c r="W168" s="1119"/>
      <c r="X168" s="1119"/>
      <c r="Y168" s="1120">
        <v>2040</v>
      </c>
      <c r="Z168" s="1111"/>
      <c r="AA168" s="1112">
        <f t="shared" si="126"/>
        <v>0</v>
      </c>
      <c r="AB168" s="1121"/>
      <c r="AC168" s="1119"/>
      <c r="AD168" s="1120"/>
      <c r="AE168" s="1111"/>
      <c r="AF168" s="1117">
        <f>-G168+S168</f>
        <v>2040</v>
      </c>
    </row>
    <row r="169" spans="1:32" s="549" customFormat="1" ht="12.75" thickBot="1">
      <c r="A169" s="614" t="s">
        <v>886</v>
      </c>
      <c r="B169" s="948"/>
      <c r="C169" s="1204" t="s">
        <v>861</v>
      </c>
      <c r="D169" s="1205"/>
      <c r="E169" s="1205"/>
      <c r="F169" s="1206"/>
      <c r="G169" s="566">
        <f>SUM(G165:G168)</f>
        <v>0</v>
      </c>
      <c r="H169" s="477">
        <f t="shared" ref="H169:AE169" si="127">SUM(H165:H168)</f>
        <v>0</v>
      </c>
      <c r="I169" s="567">
        <f t="shared" si="127"/>
        <v>0</v>
      </c>
      <c r="J169" s="404">
        <f t="shared" si="127"/>
        <v>0</v>
      </c>
      <c r="K169" s="404">
        <f t="shared" si="127"/>
        <v>0</v>
      </c>
      <c r="L169" s="1071">
        <f t="shared" si="127"/>
        <v>0</v>
      </c>
      <c r="M169" s="566">
        <f t="shared" si="127"/>
        <v>0</v>
      </c>
      <c r="N169" s="566">
        <f t="shared" si="127"/>
        <v>0</v>
      </c>
      <c r="O169" s="567">
        <f t="shared" si="127"/>
        <v>0</v>
      </c>
      <c r="P169" s="404">
        <f t="shared" si="127"/>
        <v>0</v>
      </c>
      <c r="Q169" s="391">
        <f t="shared" si="127"/>
        <v>0</v>
      </c>
      <c r="R169" s="566">
        <f t="shared" si="127"/>
        <v>0</v>
      </c>
      <c r="S169" s="566">
        <f t="shared" si="127"/>
        <v>0</v>
      </c>
      <c r="T169" s="566">
        <f t="shared" si="127"/>
        <v>2000</v>
      </c>
      <c r="U169" s="567">
        <f t="shared" si="127"/>
        <v>-30</v>
      </c>
      <c r="V169" s="404">
        <f t="shared" si="127"/>
        <v>-10</v>
      </c>
      <c r="W169" s="404">
        <f t="shared" si="127"/>
        <v>0</v>
      </c>
      <c r="X169" s="404">
        <f t="shared" si="127"/>
        <v>0</v>
      </c>
      <c r="Y169" s="391">
        <f t="shared" si="127"/>
        <v>2040</v>
      </c>
      <c r="Z169" s="566">
        <f t="shared" si="127"/>
        <v>0</v>
      </c>
      <c r="AA169" s="477">
        <f t="shared" si="127"/>
        <v>-2000</v>
      </c>
      <c r="AB169" s="567">
        <f t="shared" si="127"/>
        <v>-2000</v>
      </c>
      <c r="AC169" s="404">
        <f t="shared" si="127"/>
        <v>0</v>
      </c>
      <c r="AD169" s="391">
        <f t="shared" si="127"/>
        <v>0</v>
      </c>
      <c r="AE169" s="566">
        <f t="shared" si="127"/>
        <v>0</v>
      </c>
    </row>
    <row r="170" spans="1:32" s="553" customFormat="1" ht="12.75" customHeight="1" thickBot="1">
      <c r="A170" s="620">
        <f>+A167+1</f>
        <v>114</v>
      </c>
      <c r="B170" s="953">
        <v>30</v>
      </c>
      <c r="C170" s="393" t="s">
        <v>19</v>
      </c>
      <c r="D170" s="1068" t="s">
        <v>19</v>
      </c>
      <c r="E170" s="1321" t="s">
        <v>19</v>
      </c>
      <c r="F170" s="1069" t="s">
        <v>19</v>
      </c>
      <c r="G170" s="590">
        <f>+H170+M170+N170+R170</f>
        <v>0</v>
      </c>
      <c r="H170" s="485">
        <f>+I170+J170+K170+L170</f>
        <v>0</v>
      </c>
      <c r="I170" s="893"/>
      <c r="J170" s="890"/>
      <c r="K170" s="890"/>
      <c r="L170" s="1084"/>
      <c r="M170" s="590"/>
      <c r="N170" s="485">
        <f>+O170+P170+Q170</f>
        <v>0</v>
      </c>
      <c r="O170" s="893"/>
      <c r="P170" s="890"/>
      <c r="Q170" s="891"/>
      <c r="R170" s="590"/>
      <c r="S170" s="590">
        <f>+T170+Z170+AA170+AE170</f>
        <v>0</v>
      </c>
      <c r="T170" s="485">
        <f>+U170+V170+W170+X170+Y170</f>
        <v>0</v>
      </c>
      <c r="U170" s="893"/>
      <c r="V170" s="890"/>
      <c r="W170" s="890"/>
      <c r="X170" s="890"/>
      <c r="Y170" s="891"/>
      <c r="Z170" s="590"/>
      <c r="AA170" s="485">
        <f>+AB170+AC170+AD170</f>
        <v>0</v>
      </c>
      <c r="AB170" s="893"/>
      <c r="AC170" s="890"/>
      <c r="AD170" s="891"/>
      <c r="AE170" s="590"/>
    </row>
    <row r="171" spans="1:32" s="549" customFormat="1" ht="12.75" thickBot="1">
      <c r="A171" s="614" t="s">
        <v>887</v>
      </c>
      <c r="B171" s="948"/>
      <c r="C171" s="1204" t="s">
        <v>888</v>
      </c>
      <c r="D171" s="1205"/>
      <c r="E171" s="1205"/>
      <c r="F171" s="1206"/>
      <c r="G171" s="566">
        <f>SUM(G170)</f>
        <v>0</v>
      </c>
      <c r="H171" s="477">
        <f t="shared" ref="H171:R171" si="128">SUM(H170)</f>
        <v>0</v>
      </c>
      <c r="I171" s="567">
        <f t="shared" si="128"/>
        <v>0</v>
      </c>
      <c r="J171" s="404">
        <f t="shared" si="128"/>
        <v>0</v>
      </c>
      <c r="K171" s="404">
        <f t="shared" si="128"/>
        <v>0</v>
      </c>
      <c r="L171" s="1071">
        <f t="shared" si="128"/>
        <v>0</v>
      </c>
      <c r="M171" s="566">
        <f>SUM(M170)</f>
        <v>0</v>
      </c>
      <c r="N171" s="477">
        <f t="shared" si="128"/>
        <v>0</v>
      </c>
      <c r="O171" s="567">
        <f t="shared" si="128"/>
        <v>0</v>
      </c>
      <c r="P171" s="404">
        <f t="shared" si="128"/>
        <v>0</v>
      </c>
      <c r="Q171" s="391">
        <f t="shared" si="128"/>
        <v>0</v>
      </c>
      <c r="R171" s="566">
        <f t="shared" si="128"/>
        <v>0</v>
      </c>
      <c r="S171" s="566">
        <f>SUM(S170)</f>
        <v>0</v>
      </c>
      <c r="T171" s="566">
        <f t="shared" ref="T171:AD171" si="129">SUM(T170)</f>
        <v>0</v>
      </c>
      <c r="U171" s="567">
        <f t="shared" si="129"/>
        <v>0</v>
      </c>
      <c r="V171" s="404">
        <f t="shared" si="129"/>
        <v>0</v>
      </c>
      <c r="W171" s="404">
        <f t="shared" si="129"/>
        <v>0</v>
      </c>
      <c r="X171" s="404">
        <f t="shared" si="129"/>
        <v>0</v>
      </c>
      <c r="Y171" s="391">
        <f t="shared" si="129"/>
        <v>0</v>
      </c>
      <c r="Z171" s="566">
        <f t="shared" si="129"/>
        <v>0</v>
      </c>
      <c r="AA171" s="477">
        <f t="shared" si="129"/>
        <v>0</v>
      </c>
      <c r="AB171" s="567">
        <f t="shared" si="129"/>
        <v>0</v>
      </c>
      <c r="AC171" s="404">
        <f t="shared" si="129"/>
        <v>0</v>
      </c>
      <c r="AD171" s="391">
        <f t="shared" si="129"/>
        <v>0</v>
      </c>
      <c r="AE171" s="566">
        <f>SUM(AE170)</f>
        <v>0</v>
      </c>
    </row>
    <row r="172" spans="1:32" s="549" customFormat="1" ht="12.75" thickBot="1">
      <c r="A172" s="615" t="s">
        <v>552</v>
      </c>
      <c r="B172" s="949"/>
      <c r="C172" s="1201" t="s">
        <v>862</v>
      </c>
      <c r="D172" s="1202"/>
      <c r="E172" s="1202"/>
      <c r="F172" s="1203"/>
      <c r="G172" s="569">
        <f t="shared" ref="G172:AE172" si="130">+G164+G169+G171</f>
        <v>0</v>
      </c>
      <c r="H172" s="572">
        <f t="shared" si="130"/>
        <v>0</v>
      </c>
      <c r="I172" s="586">
        <f t="shared" si="130"/>
        <v>0</v>
      </c>
      <c r="J172" s="587">
        <f t="shared" si="130"/>
        <v>0</v>
      </c>
      <c r="K172" s="587">
        <f t="shared" si="130"/>
        <v>0</v>
      </c>
      <c r="L172" s="1085">
        <f t="shared" si="130"/>
        <v>0</v>
      </c>
      <c r="M172" s="569">
        <f t="shared" si="130"/>
        <v>0</v>
      </c>
      <c r="N172" s="572">
        <f t="shared" si="130"/>
        <v>0</v>
      </c>
      <c r="O172" s="586">
        <f t="shared" si="130"/>
        <v>0</v>
      </c>
      <c r="P172" s="587">
        <f t="shared" si="130"/>
        <v>0</v>
      </c>
      <c r="Q172" s="588">
        <f t="shared" si="130"/>
        <v>0</v>
      </c>
      <c r="R172" s="569">
        <f t="shared" si="130"/>
        <v>0</v>
      </c>
      <c r="S172" s="569">
        <f t="shared" si="130"/>
        <v>0</v>
      </c>
      <c r="T172" s="607">
        <f t="shared" si="130"/>
        <v>2000</v>
      </c>
      <c r="U172" s="570">
        <f t="shared" si="130"/>
        <v>-30</v>
      </c>
      <c r="V172" s="571">
        <f t="shared" si="130"/>
        <v>-10</v>
      </c>
      <c r="W172" s="571">
        <f t="shared" si="130"/>
        <v>0</v>
      </c>
      <c r="X172" s="571">
        <f t="shared" si="130"/>
        <v>0</v>
      </c>
      <c r="Y172" s="572">
        <f t="shared" si="130"/>
        <v>2040</v>
      </c>
      <c r="Z172" s="569">
        <f t="shared" si="130"/>
        <v>0</v>
      </c>
      <c r="AA172" s="608">
        <f t="shared" si="130"/>
        <v>-2000</v>
      </c>
      <c r="AB172" s="570">
        <f t="shared" si="130"/>
        <v>-2000</v>
      </c>
      <c r="AC172" s="571">
        <f t="shared" si="130"/>
        <v>0</v>
      </c>
      <c r="AD172" s="572">
        <f t="shared" si="130"/>
        <v>0</v>
      </c>
      <c r="AE172" s="569">
        <f t="shared" si="130"/>
        <v>0</v>
      </c>
    </row>
    <row r="173" spans="1:32" s="549" customFormat="1" ht="12.75" thickBot="1">
      <c r="A173" s="614"/>
      <c r="B173" s="952"/>
      <c r="C173" s="392"/>
      <c r="D173" s="613"/>
      <c r="E173" s="1325"/>
      <c r="F173" s="565"/>
      <c r="G173" s="566"/>
      <c r="H173" s="477"/>
      <c r="I173" s="567"/>
      <c r="J173" s="404"/>
      <c r="K173" s="404"/>
      <c r="L173" s="1071"/>
      <c r="M173" s="566"/>
      <c r="N173" s="477"/>
      <c r="O173" s="567"/>
      <c r="P173" s="404"/>
      <c r="Q173" s="391"/>
      <c r="R173" s="566"/>
      <c r="S173" s="566"/>
      <c r="T173" s="477"/>
      <c r="U173" s="582"/>
      <c r="V173" s="583"/>
      <c r="W173" s="583"/>
      <c r="X173" s="583"/>
      <c r="Y173" s="584"/>
      <c r="Z173" s="566"/>
      <c r="AA173" s="477"/>
      <c r="AB173" s="582"/>
      <c r="AC173" s="583"/>
      <c r="AD173" s="584"/>
      <c r="AE173" s="566"/>
    </row>
    <row r="174" spans="1:32">
      <c r="A174" s="618">
        <f>+A170+1</f>
        <v>115</v>
      </c>
      <c r="B174" s="945">
        <v>31</v>
      </c>
      <c r="C174" s="393" t="s">
        <v>1023</v>
      </c>
      <c r="D174" s="1068" t="s">
        <v>1024</v>
      </c>
      <c r="E174" s="1321" t="s">
        <v>1245</v>
      </c>
      <c r="F174" s="1069" t="s">
        <v>1025</v>
      </c>
      <c r="G174" s="540">
        <f t="shared" ref="G174:G178" si="131">+H174+M174+N174+R174</f>
        <v>0</v>
      </c>
      <c r="H174" s="541">
        <f t="shared" ref="H174:H178" si="132">+I174+J174+K174+L174</f>
        <v>0</v>
      </c>
      <c r="I174" s="875"/>
      <c r="J174" s="876"/>
      <c r="K174" s="876"/>
      <c r="L174" s="1060"/>
      <c r="M174" s="540"/>
      <c r="N174" s="541">
        <f t="shared" ref="N174:N178" si="133">+O174+P174+Q174</f>
        <v>0</v>
      </c>
      <c r="O174" s="875"/>
      <c r="P174" s="876"/>
      <c r="Q174" s="877"/>
      <c r="R174" s="540"/>
      <c r="S174" s="558">
        <f t="shared" ref="S174:S178" si="134">+T174+Z174+AA174+AE174</f>
        <v>0</v>
      </c>
      <c r="T174" s="559">
        <f t="shared" ref="T174:T178" si="135">+U174+V174+W174+X174+Y174</f>
        <v>0</v>
      </c>
      <c r="U174" s="875"/>
      <c r="V174" s="876"/>
      <c r="W174" s="876"/>
      <c r="X174" s="876"/>
      <c r="Y174" s="877"/>
      <c r="Z174" s="540"/>
      <c r="AA174" s="559">
        <f t="shared" ref="AA174:AA178" si="136">+AB174+AC174+AD174</f>
        <v>0</v>
      </c>
      <c r="AB174" s="875"/>
      <c r="AC174" s="876"/>
      <c r="AD174" s="877"/>
      <c r="AE174" s="540"/>
    </row>
    <row r="175" spans="1:32">
      <c r="A175" s="618">
        <f>+A174+1</f>
        <v>116</v>
      </c>
      <c r="B175" s="945">
        <v>31</v>
      </c>
      <c r="C175" s="396" t="s">
        <v>1023</v>
      </c>
      <c r="D175" s="1062" t="s">
        <v>1024</v>
      </c>
      <c r="E175" s="1320" t="s">
        <v>1246</v>
      </c>
      <c r="F175" s="1065" t="s">
        <v>1026</v>
      </c>
      <c r="G175" s="540">
        <f t="shared" si="131"/>
        <v>0</v>
      </c>
      <c r="H175" s="541">
        <f t="shared" si="132"/>
        <v>0</v>
      </c>
      <c r="I175" s="875"/>
      <c r="J175" s="876"/>
      <c r="K175" s="876"/>
      <c r="L175" s="1060"/>
      <c r="M175" s="540"/>
      <c r="N175" s="541">
        <f t="shared" si="133"/>
        <v>0</v>
      </c>
      <c r="O175" s="875"/>
      <c r="P175" s="876"/>
      <c r="Q175" s="877"/>
      <c r="R175" s="540"/>
      <c r="S175" s="558">
        <f t="shared" si="134"/>
        <v>0</v>
      </c>
      <c r="T175" s="559">
        <f t="shared" si="135"/>
        <v>0</v>
      </c>
      <c r="U175" s="875"/>
      <c r="V175" s="878"/>
      <c r="W175" s="878"/>
      <c r="X175" s="878"/>
      <c r="Y175" s="879"/>
      <c r="Z175" s="540"/>
      <c r="AA175" s="559">
        <f t="shared" si="136"/>
        <v>0</v>
      </c>
      <c r="AB175" s="882"/>
      <c r="AC175" s="878"/>
      <c r="AD175" s="879"/>
      <c r="AE175" s="540"/>
    </row>
    <row r="176" spans="1:32">
      <c r="A176" s="618">
        <f>+A175+1</f>
        <v>117</v>
      </c>
      <c r="B176" s="945">
        <v>31</v>
      </c>
      <c r="C176" s="396" t="s">
        <v>1028</v>
      </c>
      <c r="D176" s="1062" t="s">
        <v>1027</v>
      </c>
      <c r="E176" s="1320" t="s">
        <v>1245</v>
      </c>
      <c r="F176" s="1065" t="s">
        <v>1025</v>
      </c>
      <c r="G176" s="540">
        <f t="shared" si="131"/>
        <v>0</v>
      </c>
      <c r="H176" s="541">
        <f t="shared" si="132"/>
        <v>0</v>
      </c>
      <c r="I176" s="875"/>
      <c r="J176" s="876"/>
      <c r="K176" s="876"/>
      <c r="L176" s="1060"/>
      <c r="M176" s="540"/>
      <c r="N176" s="541">
        <f t="shared" si="133"/>
        <v>0</v>
      </c>
      <c r="O176" s="875"/>
      <c r="P176" s="876"/>
      <c r="Q176" s="877"/>
      <c r="R176" s="540"/>
      <c r="S176" s="558">
        <f t="shared" si="134"/>
        <v>0</v>
      </c>
      <c r="T176" s="559">
        <f t="shared" si="135"/>
        <v>0</v>
      </c>
      <c r="U176" s="875"/>
      <c r="V176" s="878"/>
      <c r="W176" s="878"/>
      <c r="X176" s="878"/>
      <c r="Y176" s="879"/>
      <c r="Z176" s="540"/>
      <c r="AA176" s="559">
        <f t="shared" si="136"/>
        <v>0</v>
      </c>
      <c r="AB176" s="882"/>
      <c r="AC176" s="878"/>
      <c r="AD176" s="879"/>
      <c r="AE176" s="540"/>
    </row>
    <row r="177" spans="1:32">
      <c r="A177" s="618">
        <f>+A176+1</f>
        <v>118</v>
      </c>
      <c r="B177" s="945">
        <v>31</v>
      </c>
      <c r="C177" s="393" t="s">
        <v>1028</v>
      </c>
      <c r="D177" s="1068" t="s">
        <v>1027</v>
      </c>
      <c r="E177" s="1321" t="s">
        <v>1246</v>
      </c>
      <c r="F177" s="1069" t="s">
        <v>1026</v>
      </c>
      <c r="G177" s="540">
        <f>+H177+M177+N177+R177</f>
        <v>0</v>
      </c>
      <c r="H177" s="541">
        <f>+I177+J177+K177+L177</f>
        <v>0</v>
      </c>
      <c r="I177" s="875"/>
      <c r="J177" s="876"/>
      <c r="K177" s="876"/>
      <c r="L177" s="1060"/>
      <c r="M177" s="540"/>
      <c r="N177" s="541">
        <f>+O177+P177+Q177</f>
        <v>0</v>
      </c>
      <c r="O177" s="875"/>
      <c r="P177" s="876"/>
      <c r="Q177" s="877"/>
      <c r="R177" s="540"/>
      <c r="S177" s="558">
        <f>+T177+Z177+AA177+AE177</f>
        <v>0</v>
      </c>
      <c r="T177" s="559">
        <f>+U177+V177+W177+X177+Y177</f>
        <v>0</v>
      </c>
      <c r="U177" s="875"/>
      <c r="V177" s="878"/>
      <c r="W177" s="878"/>
      <c r="X177" s="878"/>
      <c r="Y177" s="879"/>
      <c r="Z177" s="540"/>
      <c r="AA177" s="559">
        <f>+AB177+AC177+AD177</f>
        <v>0</v>
      </c>
      <c r="AB177" s="882"/>
      <c r="AC177" s="878"/>
      <c r="AD177" s="879"/>
      <c r="AE177" s="540"/>
    </row>
    <row r="178" spans="1:32" ht="12.75" thickBot="1">
      <c r="A178" s="618">
        <f>+A177+1</f>
        <v>119</v>
      </c>
      <c r="B178" s="945">
        <v>31</v>
      </c>
      <c r="C178" s="393" t="s">
        <v>1002</v>
      </c>
      <c r="D178" s="1068" t="s">
        <v>1003</v>
      </c>
      <c r="E178" s="1321" t="s">
        <v>1245</v>
      </c>
      <c r="F178" s="1069" t="s">
        <v>1025</v>
      </c>
      <c r="G178" s="540">
        <f t="shared" si="131"/>
        <v>0</v>
      </c>
      <c r="H178" s="541">
        <f t="shared" si="132"/>
        <v>0</v>
      </c>
      <c r="I178" s="875"/>
      <c r="J178" s="876"/>
      <c r="K178" s="876"/>
      <c r="L178" s="1060"/>
      <c r="M178" s="540"/>
      <c r="N178" s="541">
        <f t="shared" si="133"/>
        <v>0</v>
      </c>
      <c r="O178" s="875"/>
      <c r="P178" s="876"/>
      <c r="Q178" s="877"/>
      <c r="R178" s="540"/>
      <c r="S178" s="558">
        <f t="shared" si="134"/>
        <v>0</v>
      </c>
      <c r="T178" s="559">
        <f t="shared" si="135"/>
        <v>0</v>
      </c>
      <c r="U178" s="875"/>
      <c r="V178" s="878"/>
      <c r="W178" s="878"/>
      <c r="X178" s="878"/>
      <c r="Y178" s="879"/>
      <c r="Z178" s="540"/>
      <c r="AA178" s="559">
        <f t="shared" si="136"/>
        <v>0</v>
      </c>
      <c r="AB178" s="882"/>
      <c r="AC178" s="878"/>
      <c r="AD178" s="879"/>
      <c r="AE178" s="540"/>
    </row>
    <row r="179" spans="1:32" s="549" customFormat="1" ht="12.75" thickBot="1">
      <c r="A179" s="614" t="s">
        <v>1141</v>
      </c>
      <c r="B179" s="948"/>
      <c r="C179" s="1204" t="s">
        <v>1098</v>
      </c>
      <c r="D179" s="1205"/>
      <c r="E179" s="1205"/>
      <c r="F179" s="1206"/>
      <c r="G179" s="566">
        <f>SUM(G174:G178)</f>
        <v>0</v>
      </c>
      <c r="H179" s="477">
        <f t="shared" ref="H179:R179" si="137">SUM(H174:H178)</f>
        <v>0</v>
      </c>
      <c r="I179" s="567">
        <f t="shared" si="137"/>
        <v>0</v>
      </c>
      <c r="J179" s="404">
        <f t="shared" si="137"/>
        <v>0</v>
      </c>
      <c r="K179" s="404">
        <f t="shared" si="137"/>
        <v>0</v>
      </c>
      <c r="L179" s="1071">
        <f t="shared" si="137"/>
        <v>0</v>
      </c>
      <c r="M179" s="566">
        <f>SUM(M174:M178)</f>
        <v>0</v>
      </c>
      <c r="N179" s="566">
        <f t="shared" si="137"/>
        <v>0</v>
      </c>
      <c r="O179" s="567">
        <f t="shared" si="137"/>
        <v>0</v>
      </c>
      <c r="P179" s="404">
        <f t="shared" si="137"/>
        <v>0</v>
      </c>
      <c r="Q179" s="391">
        <f t="shared" si="137"/>
        <v>0</v>
      </c>
      <c r="R179" s="566">
        <f t="shared" si="137"/>
        <v>0</v>
      </c>
      <c r="S179" s="566">
        <f>SUM(S174:S178)</f>
        <v>0</v>
      </c>
      <c r="T179" s="566">
        <f t="shared" ref="T179:AD179" si="138">SUM(T174:T178)</f>
        <v>0</v>
      </c>
      <c r="U179" s="567">
        <f t="shared" si="138"/>
        <v>0</v>
      </c>
      <c r="V179" s="404">
        <f t="shared" si="138"/>
        <v>0</v>
      </c>
      <c r="W179" s="404">
        <f t="shared" si="138"/>
        <v>0</v>
      </c>
      <c r="X179" s="404">
        <f t="shared" si="138"/>
        <v>0</v>
      </c>
      <c r="Y179" s="391">
        <f t="shared" si="138"/>
        <v>0</v>
      </c>
      <c r="Z179" s="566">
        <f t="shared" si="138"/>
        <v>0</v>
      </c>
      <c r="AA179" s="477">
        <f t="shared" si="138"/>
        <v>0</v>
      </c>
      <c r="AB179" s="567">
        <f t="shared" si="138"/>
        <v>0</v>
      </c>
      <c r="AC179" s="404">
        <f t="shared" si="138"/>
        <v>0</v>
      </c>
      <c r="AD179" s="391">
        <f t="shared" si="138"/>
        <v>0</v>
      </c>
      <c r="AE179" s="566">
        <f>SUM(AE174:AE178)</f>
        <v>0</v>
      </c>
    </row>
    <row r="180" spans="1:32" s="553" customFormat="1" ht="12.75" customHeight="1" thickBot="1">
      <c r="A180" s="620">
        <f>A178+1</f>
        <v>120</v>
      </c>
      <c r="B180" s="953">
        <v>32</v>
      </c>
      <c r="C180" s="393" t="s">
        <v>19</v>
      </c>
      <c r="D180" s="1068" t="s">
        <v>19</v>
      </c>
      <c r="E180" s="1321" t="s">
        <v>19</v>
      </c>
      <c r="F180" s="1069" t="s">
        <v>19</v>
      </c>
      <c r="G180" s="590">
        <f>+H180+M180+N180+R180</f>
        <v>0</v>
      </c>
      <c r="H180" s="485">
        <f>+I180+J180+K180+L180</f>
        <v>0</v>
      </c>
      <c r="I180" s="893"/>
      <c r="J180" s="890"/>
      <c r="K180" s="890"/>
      <c r="L180" s="1084"/>
      <c r="M180" s="590"/>
      <c r="N180" s="485">
        <f>+O180+P180+Q180</f>
        <v>0</v>
      </c>
      <c r="O180" s="893"/>
      <c r="P180" s="890"/>
      <c r="Q180" s="891"/>
      <c r="R180" s="590"/>
      <c r="S180" s="590">
        <f>+T180+Z180+AA180+AE180</f>
        <v>0</v>
      </c>
      <c r="T180" s="485">
        <f>+U180+V180+W180+X180+Y180</f>
        <v>0</v>
      </c>
      <c r="U180" s="893"/>
      <c r="V180" s="890"/>
      <c r="W180" s="890"/>
      <c r="X180" s="890"/>
      <c r="Y180" s="891"/>
      <c r="Z180" s="590"/>
      <c r="AA180" s="485">
        <f>+AB180+AC180+AD180</f>
        <v>0</v>
      </c>
      <c r="AB180" s="893"/>
      <c r="AC180" s="890"/>
      <c r="AD180" s="891"/>
      <c r="AE180" s="590"/>
    </row>
    <row r="181" spans="1:32" s="549" customFormat="1" ht="12.75" thickBot="1">
      <c r="A181" s="614" t="s">
        <v>1142</v>
      </c>
      <c r="B181" s="948"/>
      <c r="C181" s="1204" t="s">
        <v>1099</v>
      </c>
      <c r="D181" s="1205"/>
      <c r="E181" s="1205"/>
      <c r="F181" s="1206"/>
      <c r="G181" s="566">
        <f>SUM(G180)</f>
        <v>0</v>
      </c>
      <c r="H181" s="477">
        <f t="shared" ref="H181:R181" si="139">SUM(H180)</f>
        <v>0</v>
      </c>
      <c r="I181" s="567">
        <f t="shared" si="139"/>
        <v>0</v>
      </c>
      <c r="J181" s="404">
        <f t="shared" si="139"/>
        <v>0</v>
      </c>
      <c r="K181" s="404">
        <f t="shared" si="139"/>
        <v>0</v>
      </c>
      <c r="L181" s="1071">
        <f t="shared" si="139"/>
        <v>0</v>
      </c>
      <c r="M181" s="566">
        <f>SUM(M180)</f>
        <v>0</v>
      </c>
      <c r="N181" s="566">
        <f t="shared" si="139"/>
        <v>0</v>
      </c>
      <c r="O181" s="567">
        <f t="shared" si="139"/>
        <v>0</v>
      </c>
      <c r="P181" s="404">
        <f t="shared" si="139"/>
        <v>0</v>
      </c>
      <c r="Q181" s="391">
        <f t="shared" si="139"/>
        <v>0</v>
      </c>
      <c r="R181" s="566">
        <f t="shared" si="139"/>
        <v>0</v>
      </c>
      <c r="S181" s="566">
        <f>SUM(S180)</f>
        <v>0</v>
      </c>
      <c r="T181" s="566">
        <f t="shared" ref="T181:AD181" si="140">SUM(T180)</f>
        <v>0</v>
      </c>
      <c r="U181" s="567">
        <f t="shared" si="140"/>
        <v>0</v>
      </c>
      <c r="V181" s="404">
        <f t="shared" si="140"/>
        <v>0</v>
      </c>
      <c r="W181" s="404">
        <f t="shared" si="140"/>
        <v>0</v>
      </c>
      <c r="X181" s="404">
        <f t="shared" si="140"/>
        <v>0</v>
      </c>
      <c r="Y181" s="391">
        <f t="shared" si="140"/>
        <v>0</v>
      </c>
      <c r="Z181" s="566">
        <f t="shared" si="140"/>
        <v>0</v>
      </c>
      <c r="AA181" s="477">
        <f t="shared" si="140"/>
        <v>0</v>
      </c>
      <c r="AB181" s="567">
        <f t="shared" si="140"/>
        <v>0</v>
      </c>
      <c r="AC181" s="404">
        <f t="shared" si="140"/>
        <v>0</v>
      </c>
      <c r="AD181" s="391">
        <f t="shared" si="140"/>
        <v>0</v>
      </c>
      <c r="AE181" s="566">
        <f>SUM(AE180)</f>
        <v>0</v>
      </c>
    </row>
    <row r="182" spans="1:32" s="553" customFormat="1" ht="12.75" customHeight="1" thickBot="1">
      <c r="A182" s="620">
        <f>+A180+1</f>
        <v>121</v>
      </c>
      <c r="B182" s="953">
        <v>33</v>
      </c>
      <c r="C182" s="393" t="s">
        <v>19</v>
      </c>
      <c r="D182" s="1068" t="s">
        <v>19</v>
      </c>
      <c r="E182" s="1321" t="s">
        <v>19</v>
      </c>
      <c r="F182" s="1069" t="s">
        <v>19</v>
      </c>
      <c r="G182" s="590">
        <f>+H182+M182+N182+R182</f>
        <v>0</v>
      </c>
      <c r="H182" s="485">
        <f>+I182+J182+K182+L182</f>
        <v>0</v>
      </c>
      <c r="I182" s="893"/>
      <c r="J182" s="890"/>
      <c r="K182" s="890"/>
      <c r="L182" s="1084"/>
      <c r="M182" s="590"/>
      <c r="N182" s="485">
        <f>+O182+P182+Q182</f>
        <v>0</v>
      </c>
      <c r="O182" s="893"/>
      <c r="P182" s="890"/>
      <c r="Q182" s="891"/>
      <c r="R182" s="590"/>
      <c r="S182" s="590">
        <f>+T182+Z182+AA182+AE182</f>
        <v>0</v>
      </c>
      <c r="T182" s="485">
        <f>+U182+V182+W182+X182+Y182</f>
        <v>0</v>
      </c>
      <c r="U182" s="893"/>
      <c r="V182" s="890"/>
      <c r="W182" s="890"/>
      <c r="X182" s="890"/>
      <c r="Y182" s="891"/>
      <c r="Z182" s="590"/>
      <c r="AA182" s="485">
        <f>+AB182+AC182+AD182</f>
        <v>0</v>
      </c>
      <c r="AB182" s="893"/>
      <c r="AC182" s="890"/>
      <c r="AD182" s="891"/>
      <c r="AE182" s="590"/>
    </row>
    <row r="183" spans="1:32" s="549" customFormat="1" ht="12.75" thickBot="1">
      <c r="A183" s="614" t="s">
        <v>1143</v>
      </c>
      <c r="B183" s="948"/>
      <c r="C183" s="1204" t="s">
        <v>1100</v>
      </c>
      <c r="D183" s="1205"/>
      <c r="E183" s="1205"/>
      <c r="F183" s="1206"/>
      <c r="G183" s="566">
        <f>SUM(G182)</f>
        <v>0</v>
      </c>
      <c r="H183" s="477">
        <f t="shared" ref="H183:R183" si="141">SUM(H182)</f>
        <v>0</v>
      </c>
      <c r="I183" s="567">
        <f t="shared" si="141"/>
        <v>0</v>
      </c>
      <c r="J183" s="404">
        <f t="shared" si="141"/>
        <v>0</v>
      </c>
      <c r="K183" s="404">
        <f t="shared" si="141"/>
        <v>0</v>
      </c>
      <c r="L183" s="1071">
        <f t="shared" si="141"/>
        <v>0</v>
      </c>
      <c r="M183" s="566">
        <f>SUM(M182)</f>
        <v>0</v>
      </c>
      <c r="N183" s="566">
        <f t="shared" si="141"/>
        <v>0</v>
      </c>
      <c r="O183" s="567">
        <f t="shared" si="141"/>
        <v>0</v>
      </c>
      <c r="P183" s="404">
        <f t="shared" si="141"/>
        <v>0</v>
      </c>
      <c r="Q183" s="391">
        <f t="shared" si="141"/>
        <v>0</v>
      </c>
      <c r="R183" s="566">
        <f t="shared" si="141"/>
        <v>0</v>
      </c>
      <c r="S183" s="566">
        <f>SUM(S182)</f>
        <v>0</v>
      </c>
      <c r="T183" s="566">
        <f t="shared" ref="T183:AD183" si="142">SUM(T182)</f>
        <v>0</v>
      </c>
      <c r="U183" s="567">
        <f t="shared" si="142"/>
        <v>0</v>
      </c>
      <c r="V183" s="404">
        <f t="shared" si="142"/>
        <v>0</v>
      </c>
      <c r="W183" s="404">
        <f t="shared" si="142"/>
        <v>0</v>
      </c>
      <c r="X183" s="404">
        <f t="shared" si="142"/>
        <v>0</v>
      </c>
      <c r="Y183" s="391">
        <f t="shared" si="142"/>
        <v>0</v>
      </c>
      <c r="Z183" s="566">
        <f t="shared" si="142"/>
        <v>0</v>
      </c>
      <c r="AA183" s="477">
        <f t="shared" si="142"/>
        <v>0</v>
      </c>
      <c r="AB183" s="567">
        <f t="shared" si="142"/>
        <v>0</v>
      </c>
      <c r="AC183" s="404">
        <f t="shared" si="142"/>
        <v>0</v>
      </c>
      <c r="AD183" s="391">
        <f t="shared" si="142"/>
        <v>0</v>
      </c>
      <c r="AE183" s="566">
        <f>SUM(AE182)</f>
        <v>0</v>
      </c>
    </row>
    <row r="184" spans="1:32" s="549" customFormat="1" ht="12.75" thickBot="1">
      <c r="A184" s="615" t="s">
        <v>42</v>
      </c>
      <c r="B184" s="949"/>
      <c r="C184" s="1201" t="s">
        <v>1101</v>
      </c>
      <c r="D184" s="1202"/>
      <c r="E184" s="1202"/>
      <c r="F184" s="1203"/>
      <c r="G184" s="569">
        <f>+G179+G181+G183</f>
        <v>0</v>
      </c>
      <c r="H184" s="572">
        <f t="shared" ref="H184:R184" si="143">+H179+H181+H183</f>
        <v>0</v>
      </c>
      <c r="I184" s="586">
        <f t="shared" si="143"/>
        <v>0</v>
      </c>
      <c r="J184" s="587">
        <f t="shared" si="143"/>
        <v>0</v>
      </c>
      <c r="K184" s="587">
        <f t="shared" si="143"/>
        <v>0</v>
      </c>
      <c r="L184" s="1085">
        <f t="shared" si="143"/>
        <v>0</v>
      </c>
      <c r="M184" s="569">
        <f>+M179+M181+M183</f>
        <v>0</v>
      </c>
      <c r="N184" s="572">
        <f t="shared" si="143"/>
        <v>0</v>
      </c>
      <c r="O184" s="586">
        <f t="shared" si="143"/>
        <v>0</v>
      </c>
      <c r="P184" s="587">
        <f t="shared" si="143"/>
        <v>0</v>
      </c>
      <c r="Q184" s="588">
        <f t="shared" si="143"/>
        <v>0</v>
      </c>
      <c r="R184" s="569">
        <f t="shared" si="143"/>
        <v>0</v>
      </c>
      <c r="S184" s="569">
        <f>+S179+S181+S183</f>
        <v>0</v>
      </c>
      <c r="T184" s="607">
        <f t="shared" ref="T184:AD184" si="144">+T179+T181+T183</f>
        <v>0</v>
      </c>
      <c r="U184" s="570">
        <f t="shared" si="144"/>
        <v>0</v>
      </c>
      <c r="V184" s="571">
        <f t="shared" si="144"/>
        <v>0</v>
      </c>
      <c r="W184" s="571">
        <f t="shared" si="144"/>
        <v>0</v>
      </c>
      <c r="X184" s="571">
        <f t="shared" si="144"/>
        <v>0</v>
      </c>
      <c r="Y184" s="572">
        <f t="shared" si="144"/>
        <v>0</v>
      </c>
      <c r="Z184" s="569">
        <f t="shared" si="144"/>
        <v>0</v>
      </c>
      <c r="AA184" s="608">
        <f>+AA179+AA181+AA183</f>
        <v>0</v>
      </c>
      <c r="AB184" s="570">
        <f t="shared" si="144"/>
        <v>0</v>
      </c>
      <c r="AC184" s="571">
        <f t="shared" si="144"/>
        <v>0</v>
      </c>
      <c r="AD184" s="572">
        <f t="shared" si="144"/>
        <v>0</v>
      </c>
      <c r="AE184" s="569">
        <f>+AE179+AE181+AE183</f>
        <v>0</v>
      </c>
    </row>
    <row r="185" spans="1:32" ht="12.75" thickBot="1">
      <c r="A185" s="620"/>
      <c r="B185" s="953"/>
      <c r="C185" s="503"/>
      <c r="D185" s="611"/>
      <c r="E185" s="1326"/>
      <c r="F185" s="589"/>
      <c r="G185" s="590"/>
      <c r="H185" s="485"/>
      <c r="I185" s="561"/>
      <c r="J185" s="560"/>
      <c r="K185" s="560"/>
      <c r="L185" s="1086"/>
      <c r="M185" s="590"/>
      <c r="N185" s="485"/>
      <c r="O185" s="561"/>
      <c r="P185" s="560"/>
      <c r="Q185" s="505"/>
      <c r="R185" s="590"/>
      <c r="S185" s="590"/>
      <c r="T185" s="485"/>
      <c r="U185" s="561"/>
      <c r="V185" s="560"/>
      <c r="W185" s="560"/>
      <c r="X185" s="560"/>
      <c r="Y185" s="505"/>
      <c r="Z185" s="590"/>
      <c r="AA185" s="485"/>
      <c r="AB185" s="561"/>
      <c r="AC185" s="560"/>
      <c r="AD185" s="505"/>
      <c r="AE185" s="590"/>
    </row>
    <row r="186" spans="1:32" ht="12.75" thickBot="1">
      <c r="A186" s="615" t="s">
        <v>41</v>
      </c>
      <c r="B186" s="949"/>
      <c r="C186" s="1201" t="s">
        <v>1350</v>
      </c>
      <c r="D186" s="1202"/>
      <c r="E186" s="1202"/>
      <c r="F186" s="1203"/>
      <c r="G186" s="591">
        <f>+G110+G132+G146+G161+G172+G184</f>
        <v>57839</v>
      </c>
      <c r="H186" s="592">
        <f>+H110+H132+H146+H161+H172+H184</f>
        <v>35540</v>
      </c>
      <c r="I186" s="593">
        <f>+I110+I132+I146+I161+I172+I184</f>
        <v>7540</v>
      </c>
      <c r="J186" s="594">
        <f>+J110+J132+J146+J161+J172+J184</f>
        <v>20000</v>
      </c>
      <c r="K186" s="594">
        <f>+K110+K132+K146+K161+K172+K184</f>
        <v>8000</v>
      </c>
      <c r="L186" s="1087">
        <f>+L110+L132+L146+L161+L172+L184</f>
        <v>0</v>
      </c>
      <c r="M186" s="591">
        <f>+M110+M132+M146+M161+M172+M184</f>
        <v>0</v>
      </c>
      <c r="N186" s="592">
        <f>+N110+N132+N146+N161+N172+N184</f>
        <v>12299</v>
      </c>
      <c r="O186" s="593">
        <f>+O110+O132+O146+O161+O172+O184</f>
        <v>2299</v>
      </c>
      <c r="P186" s="594">
        <f>+P110+P132+P146+P161+P172+P184</f>
        <v>10000</v>
      </c>
      <c r="Q186" s="592">
        <f>+Q110+Q132+Q146+Q161+Q172+Q184</f>
        <v>0</v>
      </c>
      <c r="R186" s="591">
        <f>+R110+R132+R146+R161+R172+R184</f>
        <v>10000</v>
      </c>
      <c r="S186" s="591">
        <f>+S110+S132+S146+S161+S172+S184</f>
        <v>-57780</v>
      </c>
      <c r="T186" s="592">
        <f>+T110+T132+T146+T161+T172+T184</f>
        <v>-46555</v>
      </c>
      <c r="U186" s="593">
        <f>+U110+U132+U146+U161+U172+U184</f>
        <v>-20372</v>
      </c>
      <c r="V186" s="594">
        <f>+V110+V132+V146+V161+V172+V184</f>
        <v>-3330</v>
      </c>
      <c r="W186" s="594">
        <f>+W110+W132+W146+W161+W172+W184</f>
        <v>-28918</v>
      </c>
      <c r="X186" s="594">
        <f>+X110+X132+X146+X161+X172+X184</f>
        <v>0</v>
      </c>
      <c r="Y186" s="592">
        <f>+Y110+Y132+Y146+Y161+Y172+Y184</f>
        <v>6065</v>
      </c>
      <c r="Z186" s="591">
        <f>+Z110+Z132+Z146+Z161+Z172+Z184</f>
        <v>0</v>
      </c>
      <c r="AA186" s="592">
        <f>+AA110+AA132+AA146+AA161+AA172+AA184</f>
        <v>-11225</v>
      </c>
      <c r="AB186" s="593">
        <f>+AB110+AB132+AB146+AB161+AB172+AB184</f>
        <v>-7225</v>
      </c>
      <c r="AC186" s="594">
        <f>+AC110+AC132+AC146+AC161+AC172+AC184</f>
        <v>-4000</v>
      </c>
      <c r="AD186" s="592">
        <f>+AD110+AD132+AD146+AD161+AD172+AD184</f>
        <v>0</v>
      </c>
      <c r="AE186" s="591">
        <f>+AE110+AE132+AE146+AE161+AE172+AE184</f>
        <v>0</v>
      </c>
    </row>
    <row r="187" spans="1:32" ht="12.75" thickBot="1">
      <c r="S187" s="551"/>
      <c r="T187" s="551"/>
    </row>
    <row r="188" spans="1:32" ht="13.5" thickBot="1">
      <c r="F188" s="1088" t="s">
        <v>1351</v>
      </c>
      <c r="G188" s="1089" t="s">
        <v>1352</v>
      </c>
      <c r="H188" s="1090" t="s">
        <v>1353</v>
      </c>
      <c r="I188" s="1091" t="s">
        <v>1354</v>
      </c>
    </row>
    <row r="189" spans="1:32" ht="14.25" thickBot="1">
      <c r="F189" s="1092" t="s">
        <v>1355</v>
      </c>
      <c r="G189" s="1093">
        <f>SUM(G190:G191)</f>
        <v>264842</v>
      </c>
      <c r="H189" s="1094">
        <f>SUM(H190:H191)</f>
        <v>-115619</v>
      </c>
      <c r="I189" s="1095">
        <f>SUM(I190:I191)</f>
        <v>149223</v>
      </c>
    </row>
    <row r="190" spans="1:32">
      <c r="E190" s="1327"/>
      <c r="F190" s="1096" t="s">
        <v>1356</v>
      </c>
      <c r="G190" s="1097">
        <v>-188936</v>
      </c>
      <c r="H190" s="1098">
        <f>-H186-M186+T186+Z186</f>
        <v>-82095</v>
      </c>
      <c r="I190" s="1099">
        <f>+G190+H190</f>
        <v>-271031</v>
      </c>
    </row>
    <row r="191" spans="1:32" ht="12.75" thickBot="1">
      <c r="E191" s="1327"/>
      <c r="F191" s="1100" t="s">
        <v>1357</v>
      </c>
      <c r="G191" s="1101">
        <v>453778</v>
      </c>
      <c r="H191" s="1102">
        <f>+AA186+AE186-N186-R186</f>
        <v>-33524</v>
      </c>
      <c r="I191" s="1103">
        <f>+G191+H191</f>
        <v>420254</v>
      </c>
    </row>
    <row r="192" spans="1:32">
      <c r="E192" s="1327"/>
      <c r="F192" s="1104" t="s">
        <v>1358</v>
      </c>
      <c r="G192" s="1105"/>
      <c r="H192" s="1106"/>
      <c r="I192" s="1105"/>
      <c r="J192" s="1105"/>
      <c r="M192" s="343"/>
      <c r="O192" s="549"/>
      <c r="R192" s="343"/>
      <c r="S192" s="549"/>
      <c r="Z192" s="343"/>
      <c r="AA192" s="549"/>
      <c r="AE192" s="343"/>
      <c r="AF192" s="549"/>
    </row>
    <row r="193" spans="3:32">
      <c r="C193" s="1328">
        <v>1</v>
      </c>
      <c r="E193" s="343"/>
      <c r="F193" s="1107" t="s">
        <v>1359</v>
      </c>
      <c r="G193" s="343"/>
      <c r="H193" s="1122">
        <v>-10000</v>
      </c>
      <c r="I193" s="1108"/>
      <c r="J193" s="551"/>
      <c r="M193" s="343"/>
      <c r="O193" s="549"/>
      <c r="R193" s="343"/>
      <c r="S193" s="549"/>
      <c r="Z193" s="343"/>
      <c r="AA193" s="549"/>
      <c r="AE193" s="343"/>
      <c r="AF193" s="549"/>
    </row>
    <row r="194" spans="3:32">
      <c r="C194" s="1328">
        <f>+C193+1</f>
        <v>2</v>
      </c>
      <c r="E194" s="343"/>
      <c r="F194" s="343" t="s">
        <v>1568</v>
      </c>
      <c r="H194" s="1110">
        <v>-10000</v>
      </c>
      <c r="I194" s="1108"/>
      <c r="M194" s="343"/>
      <c r="O194" s="549"/>
      <c r="R194" s="343"/>
      <c r="S194" s="549"/>
      <c r="Z194" s="343"/>
      <c r="AA194" s="549"/>
      <c r="AE194" s="343"/>
      <c r="AF194" s="549"/>
    </row>
    <row r="195" spans="3:32">
      <c r="C195" s="1328">
        <f t="shared" ref="C195:C207" si="145">+C194+1</f>
        <v>3</v>
      </c>
      <c r="E195" s="343"/>
      <c r="F195" s="343" t="s">
        <v>1574</v>
      </c>
      <c r="G195" s="343"/>
      <c r="H195" s="1110">
        <v>-20000</v>
      </c>
      <c r="I195" s="1109"/>
      <c r="M195" s="343"/>
      <c r="O195" s="549"/>
      <c r="R195" s="343"/>
      <c r="S195" s="549"/>
      <c r="Z195" s="343"/>
      <c r="AA195" s="549"/>
      <c r="AE195" s="343"/>
      <c r="AF195" s="549"/>
    </row>
    <row r="196" spans="3:32" ht="24">
      <c r="C196" s="1328">
        <f t="shared" si="145"/>
        <v>4</v>
      </c>
      <c r="E196" s="343"/>
      <c r="F196" s="343" t="s">
        <v>1575</v>
      </c>
      <c r="G196" s="343"/>
      <c r="H196" s="1110">
        <f>-6679+6679</f>
        <v>0</v>
      </c>
      <c r="I196" s="1109"/>
      <c r="M196" s="343"/>
      <c r="O196" s="549"/>
      <c r="R196" s="343"/>
      <c r="S196" s="549"/>
      <c r="Z196" s="343"/>
      <c r="AA196" s="549"/>
      <c r="AE196" s="343"/>
      <c r="AF196" s="549"/>
    </row>
    <row r="197" spans="3:32">
      <c r="C197" s="1328">
        <f t="shared" si="145"/>
        <v>5</v>
      </c>
      <c r="E197" s="343"/>
      <c r="F197" s="343" t="s">
        <v>1569</v>
      </c>
      <c r="G197" s="343"/>
      <c r="H197" s="1110">
        <v>-500</v>
      </c>
      <c r="I197" s="1109"/>
      <c r="M197" s="343"/>
      <c r="O197" s="549"/>
      <c r="R197" s="343"/>
      <c r="S197" s="549"/>
      <c r="Z197" s="343"/>
      <c r="AA197" s="549"/>
      <c r="AE197" s="343"/>
      <c r="AF197" s="549"/>
    </row>
    <row r="198" spans="3:32">
      <c r="C198" s="1328">
        <f t="shared" si="145"/>
        <v>6</v>
      </c>
      <c r="E198" s="343"/>
      <c r="F198" s="343" t="s">
        <v>1576</v>
      </c>
      <c r="G198" s="343"/>
      <c r="H198" s="1110">
        <v>-4000</v>
      </c>
      <c r="I198" s="1109"/>
      <c r="M198" s="343"/>
      <c r="O198" s="549"/>
      <c r="R198" s="343"/>
      <c r="S198" s="549"/>
      <c r="Z198" s="343"/>
      <c r="AA198" s="549"/>
      <c r="AE198" s="343"/>
      <c r="AF198" s="549"/>
    </row>
    <row r="199" spans="3:32">
      <c r="C199" s="1328">
        <f t="shared" si="145"/>
        <v>7</v>
      </c>
      <c r="E199" s="343"/>
      <c r="F199" s="343" t="s">
        <v>1570</v>
      </c>
      <c r="H199" s="1110">
        <f>-5500-8000</f>
        <v>-13500</v>
      </c>
      <c r="I199" s="1109"/>
      <c r="M199" s="343"/>
      <c r="O199" s="549"/>
      <c r="R199" s="343"/>
      <c r="S199" s="549"/>
      <c r="Z199" s="343"/>
      <c r="AA199" s="549"/>
      <c r="AE199" s="343"/>
      <c r="AF199" s="549"/>
    </row>
    <row r="200" spans="3:32">
      <c r="C200" s="1328">
        <f t="shared" si="145"/>
        <v>8</v>
      </c>
      <c r="E200" s="343"/>
      <c r="F200" s="343" t="s">
        <v>1579</v>
      </c>
      <c r="H200" s="1110">
        <f>1285+1000</f>
        <v>2285</v>
      </c>
      <c r="I200" s="1109"/>
      <c r="M200" s="343"/>
      <c r="O200" s="549"/>
      <c r="R200" s="343"/>
      <c r="S200" s="549"/>
      <c r="Z200" s="343"/>
      <c r="AA200" s="549"/>
      <c r="AE200" s="343"/>
      <c r="AF200" s="549"/>
    </row>
    <row r="201" spans="3:32">
      <c r="C201" s="1328">
        <f t="shared" si="145"/>
        <v>9</v>
      </c>
      <c r="E201" s="343"/>
      <c r="F201" s="343" t="s">
        <v>1571</v>
      </c>
      <c r="H201" s="1110">
        <f>-25664-2299</f>
        <v>-27963</v>
      </c>
      <c r="I201" s="1109"/>
      <c r="M201" s="343"/>
      <c r="O201" s="549"/>
      <c r="R201" s="343"/>
      <c r="S201" s="549"/>
      <c r="Z201" s="343"/>
      <c r="AA201" s="549"/>
      <c r="AE201" s="343"/>
      <c r="AF201" s="549"/>
    </row>
    <row r="202" spans="3:32">
      <c r="C202" s="1328">
        <f t="shared" si="145"/>
        <v>10</v>
      </c>
      <c r="E202" s="343"/>
      <c r="F202" s="343" t="s">
        <v>1567</v>
      </c>
      <c r="G202" s="343"/>
      <c r="H202" s="1110">
        <f>-17620-2970</f>
        <v>-20590</v>
      </c>
      <c r="I202" s="1109"/>
      <c r="M202" s="343"/>
      <c r="O202" s="549"/>
      <c r="R202" s="343"/>
      <c r="S202" s="549"/>
      <c r="Z202" s="343"/>
      <c r="AA202" s="549"/>
      <c r="AE202" s="343"/>
      <c r="AF202" s="549"/>
    </row>
    <row r="203" spans="3:32">
      <c r="C203" s="1328">
        <f t="shared" si="145"/>
        <v>11</v>
      </c>
      <c r="E203" s="343"/>
      <c r="F203" s="343" t="s">
        <v>1360</v>
      </c>
      <c r="G203" s="400"/>
      <c r="H203" s="1110">
        <f>-2722-350-4824-500</f>
        <v>-8396</v>
      </c>
      <c r="I203" s="1109"/>
      <c r="M203" s="343"/>
      <c r="O203" s="549"/>
      <c r="R203" s="343"/>
      <c r="S203" s="549"/>
      <c r="Z203" s="343"/>
      <c r="AA203" s="549"/>
      <c r="AE203" s="343"/>
      <c r="AF203" s="549"/>
    </row>
    <row r="204" spans="3:32">
      <c r="C204" s="1328">
        <f t="shared" si="145"/>
        <v>12</v>
      </c>
      <c r="E204" s="343"/>
      <c r="F204" s="343" t="s">
        <v>1361</v>
      </c>
      <c r="G204" s="400"/>
      <c r="H204" s="1110">
        <f>-(1600+830)-(2653+1572)</f>
        <v>-6655</v>
      </c>
      <c r="I204" s="1109"/>
      <c r="M204" s="343"/>
      <c r="O204" s="549"/>
      <c r="R204" s="343"/>
      <c r="S204" s="549"/>
      <c r="Z204" s="343"/>
      <c r="AA204" s="549"/>
      <c r="AE204" s="343"/>
      <c r="AF204" s="549"/>
    </row>
    <row r="205" spans="3:32">
      <c r="C205" s="1328">
        <f t="shared" si="145"/>
        <v>13</v>
      </c>
      <c r="E205" s="343"/>
      <c r="F205" s="343" t="s">
        <v>1566</v>
      </c>
      <c r="G205" s="400"/>
      <c r="H205" s="1110">
        <f>-30-10-2000</f>
        <v>-2040</v>
      </c>
      <c r="I205" s="1109"/>
      <c r="M205" s="343"/>
      <c r="O205" s="549"/>
      <c r="R205" s="343"/>
      <c r="S205" s="549"/>
      <c r="Z205" s="343"/>
      <c r="AA205" s="549"/>
      <c r="AE205" s="343"/>
      <c r="AF205" s="549"/>
    </row>
    <row r="206" spans="3:32">
      <c r="C206" s="1328">
        <f t="shared" si="145"/>
        <v>14</v>
      </c>
      <c r="E206" s="343"/>
      <c r="F206" s="343" t="s">
        <v>1362</v>
      </c>
      <c r="G206" s="400"/>
      <c r="H206" s="1110">
        <f>-2040+2040</f>
        <v>0</v>
      </c>
      <c r="I206" s="1109"/>
      <c r="M206" s="343"/>
      <c r="O206" s="549"/>
      <c r="R206" s="343"/>
      <c r="S206" s="549"/>
      <c r="Z206" s="343"/>
      <c r="AA206" s="549"/>
      <c r="AE206" s="343"/>
      <c r="AF206" s="549"/>
    </row>
    <row r="207" spans="3:32">
      <c r="C207" s="1328">
        <f t="shared" si="145"/>
        <v>15</v>
      </c>
      <c r="E207" s="343"/>
      <c r="F207" s="343" t="s">
        <v>1577</v>
      </c>
      <c r="G207" s="400"/>
      <c r="H207" s="1110">
        <f>-4425+(665+9500)</f>
        <v>5740</v>
      </c>
      <c r="I207" s="1109"/>
      <c r="M207" s="343"/>
      <c r="O207" s="549"/>
      <c r="R207" s="343"/>
      <c r="S207" s="549"/>
      <c r="Z207" s="343"/>
      <c r="AA207" s="549"/>
      <c r="AE207" s="343"/>
      <c r="AF207" s="549"/>
    </row>
    <row r="208" spans="3:32">
      <c r="F208" s="549" t="s">
        <v>1363</v>
      </c>
      <c r="H208" s="550">
        <f>SUM(H193:H207)</f>
        <v>-115619</v>
      </c>
      <c r="I208" s="550"/>
      <c r="M208" s="343"/>
      <c r="N208" s="343"/>
      <c r="R208" s="343"/>
      <c r="S208" s="549"/>
      <c r="Z208" s="343"/>
      <c r="AA208" s="549"/>
      <c r="AE208" s="343"/>
      <c r="AF208" s="549"/>
    </row>
    <row r="209" spans="8:32" hidden="1">
      <c r="H209" s="550">
        <f>-G186+S186</f>
        <v>-115619</v>
      </c>
      <c r="I209" s="343">
        <f>+H208-H209</f>
        <v>0</v>
      </c>
      <c r="M209" s="343"/>
      <c r="O209" s="549"/>
      <c r="R209" s="343"/>
      <c r="S209" s="549"/>
      <c r="Z209" s="343"/>
      <c r="AA209" s="549"/>
      <c r="AE209" s="343"/>
      <c r="AF209" s="549"/>
    </row>
  </sheetData>
  <mergeCells count="76">
    <mergeCell ref="A117:F117"/>
    <mergeCell ref="A10:F10"/>
    <mergeCell ref="A37:F37"/>
    <mergeCell ref="A11:F11"/>
    <mergeCell ref="A44:F44"/>
    <mergeCell ref="A18:F18"/>
    <mergeCell ref="A23:F23"/>
    <mergeCell ref="A41:F41"/>
    <mergeCell ref="A27:F27"/>
    <mergeCell ref="C184:F184"/>
    <mergeCell ref="C186:F186"/>
    <mergeCell ref="C172:F172"/>
    <mergeCell ref="C179:F179"/>
    <mergeCell ref="C181:F181"/>
    <mergeCell ref="C183:F183"/>
    <mergeCell ref="A166:F166"/>
    <mergeCell ref="A168:F168"/>
    <mergeCell ref="C169:F169"/>
    <mergeCell ref="C171:F171"/>
    <mergeCell ref="C156:F156"/>
    <mergeCell ref="C158:F158"/>
    <mergeCell ref="C160:F160"/>
    <mergeCell ref="C161:F161"/>
    <mergeCell ref="C164:F164"/>
    <mergeCell ref="A154:F154"/>
    <mergeCell ref="C119:F119"/>
    <mergeCell ref="C123:F123"/>
    <mergeCell ref="C131:F131"/>
    <mergeCell ref="C132:F132"/>
    <mergeCell ref="C146:F146"/>
    <mergeCell ref="A150:F150"/>
    <mergeCell ref="A152:F152"/>
    <mergeCell ref="A135:F135"/>
    <mergeCell ref="C141:F141"/>
    <mergeCell ref="C143:F143"/>
    <mergeCell ref="C145:F145"/>
    <mergeCell ref="C110:F110"/>
    <mergeCell ref="A113:F113"/>
    <mergeCell ref="C109:F109"/>
    <mergeCell ref="A16:F16"/>
    <mergeCell ref="A26:F26"/>
    <mergeCell ref="A49:F49"/>
    <mergeCell ref="A43:F43"/>
    <mergeCell ref="A53:F53"/>
    <mergeCell ref="A34:F34"/>
    <mergeCell ref="A73:F73"/>
    <mergeCell ref="A99:F99"/>
    <mergeCell ref="C100:F100"/>
    <mergeCell ref="C107:F107"/>
    <mergeCell ref="A29:F29"/>
    <mergeCell ref="A52:F52"/>
    <mergeCell ref="A12:F12"/>
    <mergeCell ref="Z6:Z7"/>
    <mergeCell ref="AA6:AA7"/>
    <mergeCell ref="G6:G7"/>
    <mergeCell ref="H6:H7"/>
    <mergeCell ref="I6:L6"/>
    <mergeCell ref="M6:M7"/>
    <mergeCell ref="N6:N7"/>
    <mergeCell ref="O6:Q6"/>
    <mergeCell ref="A2:AE2"/>
    <mergeCell ref="A3:AE3"/>
    <mergeCell ref="A5:A7"/>
    <mergeCell ref="B5:B7"/>
    <mergeCell ref="C5:C7"/>
    <mergeCell ref="D5:D7"/>
    <mergeCell ref="E5:E7"/>
    <mergeCell ref="F5:F7"/>
    <mergeCell ref="G5:R5"/>
    <mergeCell ref="S5:AE5"/>
    <mergeCell ref="AB6:AD6"/>
    <mergeCell ref="AE6:AE7"/>
    <mergeCell ref="R6:R7"/>
    <mergeCell ref="S6:S7"/>
    <mergeCell ref="T6:T7"/>
    <mergeCell ref="U6:Y6"/>
  </mergeCells>
  <printOptions horizontalCentered="1"/>
  <pageMargins left="0.39370078740157483" right="0.39370078740157483" top="0.39370078740157483" bottom="0.39370078740157483" header="0.19685039370078741" footer="0.19685039370078741"/>
  <pageSetup paperSize="8" scale="43" fitToHeight="2" orientation="landscape" r:id="rId1"/>
  <headerFooter alignWithMargins="0">
    <oddHeader xml:space="preserve">&amp;C&amp;"Times New Roman CE,Félkövér"&amp;14 13. melléklet - &amp;P. oldal
&amp;R&amp;"Times New Roman CE,Dőlt"&amp;12
</oddHeader>
  </headerFooter>
  <rowBreaks count="1" manualBreakCount="1">
    <brk id="132" max="30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Munka13">
    <tabColor rgb="FF00B0F0"/>
    <pageSetUpPr fitToPage="1"/>
  </sheetPr>
  <dimension ref="A1:K35"/>
  <sheetViews>
    <sheetView zoomScaleNormal="100" workbookViewId="0"/>
  </sheetViews>
  <sheetFormatPr defaultColWidth="9.140625" defaultRowHeight="12"/>
  <cols>
    <col min="1" max="1" width="6.5703125" style="4" customWidth="1"/>
    <col min="2" max="2" width="70.42578125" style="4" customWidth="1"/>
    <col min="3" max="6" width="9.28515625" style="4" customWidth="1"/>
    <col min="7" max="7" width="60" style="4" customWidth="1"/>
    <col min="8" max="11" width="9.28515625" style="4" customWidth="1"/>
    <col min="12" max="16384" width="9.140625" style="4"/>
  </cols>
  <sheetData>
    <row r="1" spans="1:11" s="63" customFormat="1" ht="15.75">
      <c r="K1" s="64" t="s">
        <v>387</v>
      </c>
    </row>
    <row r="2" spans="1:11" s="63" customFormat="1" ht="15.75"/>
    <row r="3" spans="1:11" s="65" customFormat="1" ht="15.75">
      <c r="A3" s="1210" t="s">
        <v>330</v>
      </c>
      <c r="B3" s="1210"/>
      <c r="C3" s="1210"/>
      <c r="D3" s="1210"/>
      <c r="E3" s="1210"/>
      <c r="F3" s="1210"/>
      <c r="G3" s="1210"/>
      <c r="H3" s="1210"/>
      <c r="I3" s="1210"/>
      <c r="J3" s="1210"/>
      <c r="K3" s="1210"/>
    </row>
    <row r="4" spans="1:11" s="65" customFormat="1" ht="15.75">
      <c r="A4" s="1210" t="s">
        <v>1445</v>
      </c>
      <c r="B4" s="1210"/>
      <c r="C4" s="1210"/>
      <c r="D4" s="1210"/>
      <c r="E4" s="1210"/>
      <c r="F4" s="1210"/>
      <c r="G4" s="1210"/>
      <c r="H4" s="1210"/>
      <c r="I4" s="1210"/>
      <c r="J4" s="1210"/>
      <c r="K4" s="1210"/>
    </row>
    <row r="5" spans="1:11" s="46" customFormat="1" ht="12.75" thickBot="1">
      <c r="A5" s="48"/>
      <c r="K5" s="47" t="s">
        <v>280</v>
      </c>
    </row>
    <row r="6" spans="1:11" s="9" customFormat="1" ht="54" customHeight="1" thickBot="1">
      <c r="A6" s="95" t="s">
        <v>17</v>
      </c>
      <c r="B6" s="109" t="s">
        <v>327</v>
      </c>
      <c r="C6" s="156" t="s">
        <v>1442</v>
      </c>
      <c r="D6" s="155" t="s">
        <v>51</v>
      </c>
      <c r="E6" s="154" t="s">
        <v>52</v>
      </c>
      <c r="F6" s="153" t="s">
        <v>53</v>
      </c>
      <c r="G6" s="96" t="s">
        <v>328</v>
      </c>
      <c r="H6" s="95" t="s">
        <v>1442</v>
      </c>
      <c r="I6" s="155" t="s">
        <v>51</v>
      </c>
      <c r="J6" s="154" t="s">
        <v>52</v>
      </c>
      <c r="K6" s="153" t="s">
        <v>53</v>
      </c>
    </row>
    <row r="7" spans="1:11" s="3" customFormat="1" ht="12.75" thickBot="1">
      <c r="A7" s="99" t="s">
        <v>252</v>
      </c>
      <c r="B7" s="110" t="s">
        <v>253</v>
      </c>
      <c r="C7" s="1221" t="s">
        <v>254</v>
      </c>
      <c r="D7" s="1222"/>
      <c r="E7" s="1222"/>
      <c r="F7" s="1223"/>
      <c r="G7" s="98" t="s">
        <v>360</v>
      </c>
      <c r="H7" s="1224" t="s">
        <v>361</v>
      </c>
      <c r="I7" s="1225"/>
      <c r="J7" s="1225"/>
      <c r="K7" s="1226"/>
    </row>
    <row r="8" spans="1:11" s="3" customFormat="1" ht="12.75" thickBot="1">
      <c r="A8" s="111" t="s">
        <v>4</v>
      </c>
      <c r="B8" s="79" t="s">
        <v>370</v>
      </c>
      <c r="C8" s="43">
        <f>+C9+C11+C13+C15</f>
        <v>1593199</v>
      </c>
      <c r="D8" s="38">
        <f>+D9+D11+D13+D15</f>
        <v>1540255</v>
      </c>
      <c r="E8" s="39">
        <f>+E9+E11+E13+E15</f>
        <v>52944</v>
      </c>
      <c r="F8" s="40">
        <f>+F9+F11+F13+F15</f>
        <v>0</v>
      </c>
      <c r="G8" s="85" t="s">
        <v>371</v>
      </c>
      <c r="H8" s="44">
        <f>+H9+H11+H13+H15+H16</f>
        <v>4018748</v>
      </c>
      <c r="I8" s="33">
        <f>+I9+I11+I13+I15+I16</f>
        <v>3952283</v>
      </c>
      <c r="J8" s="34">
        <f>+J9+J11+J13+J15+J16</f>
        <v>66465</v>
      </c>
      <c r="K8" s="35">
        <f>+K9+K11+K13+K15+K16</f>
        <v>0</v>
      </c>
    </row>
    <row r="9" spans="1:11" ht="12.75" customHeight="1">
      <c r="A9" s="149" t="s">
        <v>5</v>
      </c>
      <c r="B9" s="144" t="s">
        <v>373</v>
      </c>
      <c r="C9" s="22">
        <f>+D9+E9+F9</f>
        <v>992226</v>
      </c>
      <c r="D9" s="62">
        <f>+'1.mell._Össz_Mérleg2020'!D11</f>
        <v>988986</v>
      </c>
      <c r="E9" s="60">
        <f>+'1.mell._Össz_Mérleg2020'!E11</f>
        <v>3240</v>
      </c>
      <c r="F9" s="61">
        <f>+'1.mell._Össz_Mérleg2020'!F11</f>
        <v>0</v>
      </c>
      <c r="G9" s="150" t="s">
        <v>378</v>
      </c>
      <c r="H9" s="22">
        <f>+I9+J9+K9</f>
        <v>715534</v>
      </c>
      <c r="I9" s="62">
        <f>+'1.mell._Össz_Mérleg2020'!D110</f>
        <v>691550</v>
      </c>
      <c r="J9" s="60">
        <f>+'1.mell._Össz_Mérleg2020'!E110</f>
        <v>23984</v>
      </c>
      <c r="K9" s="61">
        <f>+'1.mell._Össz_Mérleg2020'!F110</f>
        <v>0</v>
      </c>
    </row>
    <row r="10" spans="1:11" s="14" customFormat="1" ht="24">
      <c r="A10" s="102" t="s">
        <v>348</v>
      </c>
      <c r="B10" s="162" t="s">
        <v>332</v>
      </c>
      <c r="C10" s="24">
        <f t="shared" ref="C10:C17" si="0">+D10+E10+F10</f>
        <v>0</v>
      </c>
      <c r="D10" s="20">
        <f>+'1.mell._Össz_Mérleg2020'!D24</f>
        <v>0</v>
      </c>
      <c r="E10" s="13">
        <f>+'1.mell._Össz_Mérleg2020'!E24</f>
        <v>0</v>
      </c>
      <c r="F10" s="16">
        <f>+'1.mell._Össz_Mérleg2020'!F24</f>
        <v>0</v>
      </c>
      <c r="G10" s="164" t="s">
        <v>349</v>
      </c>
      <c r="H10" s="24">
        <f t="shared" ref="H10:H17" si="1">+I10+J10+K10</f>
        <v>0</v>
      </c>
      <c r="I10" s="20">
        <f>+'1.mell._Össz_Mérleg2020'!D111</f>
        <v>0</v>
      </c>
      <c r="J10" s="13">
        <f>+'1.mell._Össz_Mérleg2020'!E111</f>
        <v>0</v>
      </c>
      <c r="K10" s="16">
        <f>+'1.mell._Össz_Mérleg2020'!F111</f>
        <v>0</v>
      </c>
    </row>
    <row r="11" spans="1:11" ht="12.75" customHeight="1">
      <c r="A11" s="101" t="s">
        <v>6</v>
      </c>
      <c r="B11" s="151" t="s">
        <v>374</v>
      </c>
      <c r="C11" s="23">
        <f t="shared" si="0"/>
        <v>414105</v>
      </c>
      <c r="D11" s="21">
        <f>+'1.mell._Össz_Mérleg2020'!D25</f>
        <v>396552</v>
      </c>
      <c r="E11" s="12">
        <f>+'1.mell._Össz_Mérleg2020'!E25</f>
        <v>17553</v>
      </c>
      <c r="F11" s="17">
        <f>+'1.mell._Össz_Mérleg2020'!F25</f>
        <v>0</v>
      </c>
      <c r="G11" s="152" t="s">
        <v>372</v>
      </c>
      <c r="H11" s="23">
        <f t="shared" si="1"/>
        <v>130817</v>
      </c>
      <c r="I11" s="21">
        <f>+'1.mell._Össz_Mérleg2020'!D114</f>
        <v>126939</v>
      </c>
      <c r="J11" s="12">
        <f>+'1.mell._Össz_Mérleg2020'!E114</f>
        <v>3878</v>
      </c>
      <c r="K11" s="17">
        <f>+'1.mell._Össz_Mérleg2020'!F114</f>
        <v>0</v>
      </c>
    </row>
    <row r="12" spans="1:11" s="14" customFormat="1" ht="24">
      <c r="A12" s="102" t="s">
        <v>345</v>
      </c>
      <c r="B12" s="146"/>
      <c r="C12" s="24">
        <f t="shared" si="0"/>
        <v>0</v>
      </c>
      <c r="D12" s="20"/>
      <c r="E12" s="13"/>
      <c r="F12" s="16"/>
      <c r="G12" s="164" t="s">
        <v>346</v>
      </c>
      <c r="H12" s="24">
        <f t="shared" si="1"/>
        <v>0</v>
      </c>
      <c r="I12" s="20">
        <f>+'1.mell._Össz_Mérleg2020'!D115</f>
        <v>0</v>
      </c>
      <c r="J12" s="13">
        <f>+'1.mell._Össz_Mérleg2020'!E115</f>
        <v>0</v>
      </c>
      <c r="K12" s="16">
        <f>+'1.mell._Össz_Mérleg2020'!F115</f>
        <v>0</v>
      </c>
    </row>
    <row r="13" spans="1:11">
      <c r="A13" s="101" t="s">
        <v>3</v>
      </c>
      <c r="B13" s="151" t="s">
        <v>375</v>
      </c>
      <c r="C13" s="23">
        <f t="shared" si="0"/>
        <v>186868</v>
      </c>
      <c r="D13" s="21">
        <f>+'1.mell._Össz_Mérleg2020'!D32</f>
        <v>154717</v>
      </c>
      <c r="E13" s="12">
        <f>+'1.mell._Össz_Mérleg2020'!E32</f>
        <v>32151</v>
      </c>
      <c r="F13" s="17">
        <f>+'1.mell._Össz_Mérleg2020'!F32</f>
        <v>0</v>
      </c>
      <c r="G13" s="152" t="s">
        <v>379</v>
      </c>
      <c r="H13" s="23">
        <f t="shared" si="1"/>
        <v>401997</v>
      </c>
      <c r="I13" s="21">
        <f>+'1.mell._Össz_Mérleg2020'!D116</f>
        <v>375832</v>
      </c>
      <c r="J13" s="12">
        <f>+'1.mell._Össz_Mérleg2020'!E116</f>
        <v>26165</v>
      </c>
      <c r="K13" s="17">
        <f>+'1.mell._Össz_Mérleg2020'!F116</f>
        <v>0</v>
      </c>
    </row>
    <row r="14" spans="1:11" s="14" customFormat="1" ht="24">
      <c r="A14" s="102" t="s">
        <v>340</v>
      </c>
      <c r="B14" s="147"/>
      <c r="C14" s="24">
        <f t="shared" si="0"/>
        <v>0</v>
      </c>
      <c r="D14" s="20"/>
      <c r="E14" s="13"/>
      <c r="F14" s="16"/>
      <c r="G14" s="164" t="s">
        <v>347</v>
      </c>
      <c r="H14" s="24">
        <f t="shared" si="1"/>
        <v>0</v>
      </c>
      <c r="I14" s="20">
        <f>+'1.mell._Össz_Mérleg2020'!D117</f>
        <v>0</v>
      </c>
      <c r="J14" s="13">
        <f>+'1.mell._Össz_Mérleg2020'!E117</f>
        <v>0</v>
      </c>
      <c r="K14" s="16">
        <f>+'1.mell._Össz_Mérleg2020'!F117</f>
        <v>0</v>
      </c>
    </row>
    <row r="15" spans="1:11" ht="12.75" customHeight="1">
      <c r="A15" s="101" t="s">
        <v>16</v>
      </c>
      <c r="B15" s="151" t="s">
        <v>376</v>
      </c>
      <c r="C15" s="23">
        <f t="shared" si="0"/>
        <v>0</v>
      </c>
      <c r="D15" s="21">
        <f>+'1.mell._Össz_Mérleg2020'!D44</f>
        <v>0</v>
      </c>
      <c r="E15" s="12">
        <f>+'1.mell._Össz_Mérleg2020'!E44</f>
        <v>0</v>
      </c>
      <c r="F15" s="17">
        <f>+'1.mell._Össz_Mérleg2020'!F44</f>
        <v>0</v>
      </c>
      <c r="G15" s="152" t="s">
        <v>380</v>
      </c>
      <c r="H15" s="23">
        <f t="shared" si="1"/>
        <v>52779</v>
      </c>
      <c r="I15" s="21">
        <f>+'1.mell._Össz_Mérleg2020'!D123</f>
        <v>49355</v>
      </c>
      <c r="J15" s="12">
        <f>+'1.mell._Össz_Mérleg2020'!E123</f>
        <v>3424</v>
      </c>
      <c r="K15" s="17">
        <f>+'1.mell._Össz_Mérleg2020'!F123</f>
        <v>0</v>
      </c>
    </row>
    <row r="16" spans="1:11" s="14" customFormat="1">
      <c r="A16" s="101" t="s">
        <v>15</v>
      </c>
      <c r="B16" s="151"/>
      <c r="C16" s="23">
        <f t="shared" si="0"/>
        <v>0</v>
      </c>
      <c r="D16" s="21"/>
      <c r="E16" s="12"/>
      <c r="F16" s="17"/>
      <c r="G16" s="152" t="s">
        <v>381</v>
      </c>
      <c r="H16" s="23">
        <f t="shared" si="1"/>
        <v>2717621</v>
      </c>
      <c r="I16" s="21">
        <f>+'1.mell._Össz_Mérleg2020'!D132</f>
        <v>2708607</v>
      </c>
      <c r="J16" s="12">
        <f>+'1.mell._Össz_Mérleg2020'!E132</f>
        <v>9014</v>
      </c>
      <c r="K16" s="17">
        <f>+'1.mell._Össz_Mérleg2020'!F132</f>
        <v>0</v>
      </c>
    </row>
    <row r="17" spans="1:11" s="14" customFormat="1" ht="24.75" thickBot="1">
      <c r="A17" s="106" t="s">
        <v>359</v>
      </c>
      <c r="B17" s="148"/>
      <c r="C17" s="59">
        <f t="shared" si="0"/>
        <v>0</v>
      </c>
      <c r="D17" s="57"/>
      <c r="E17" s="52"/>
      <c r="F17" s="53"/>
      <c r="G17" s="163" t="s">
        <v>336</v>
      </c>
      <c r="H17" s="59">
        <f t="shared" si="1"/>
        <v>0</v>
      </c>
      <c r="I17" s="57">
        <f>+'1.mell._Össz_Mérleg2020'!D139</f>
        <v>0</v>
      </c>
      <c r="J17" s="52">
        <f>+'1.mell._Össz_Mérleg2020'!E139</f>
        <v>0</v>
      </c>
      <c r="K17" s="53">
        <f>+'1.mell._Össz_Mérleg2020'!F139</f>
        <v>0</v>
      </c>
    </row>
    <row r="18" spans="1:11" s="3" customFormat="1" ht="12.75" thickBot="1">
      <c r="A18" s="99" t="s">
        <v>14</v>
      </c>
      <c r="B18" s="86" t="s">
        <v>377</v>
      </c>
      <c r="C18" s="44">
        <f>+C19</f>
        <v>2876249</v>
      </c>
      <c r="D18" s="33">
        <f>+D19</f>
        <v>2876249</v>
      </c>
      <c r="E18" s="34">
        <f>+E19</f>
        <v>0</v>
      </c>
      <c r="F18" s="35">
        <f>+F19</f>
        <v>0</v>
      </c>
      <c r="G18" s="86" t="s">
        <v>382</v>
      </c>
      <c r="H18" s="44">
        <f>+H19</f>
        <v>30446</v>
      </c>
      <c r="I18" s="33">
        <f>+I19</f>
        <v>30446</v>
      </c>
      <c r="J18" s="34">
        <f>+J19</f>
        <v>0</v>
      </c>
      <c r="K18" s="35">
        <f>+K19</f>
        <v>0</v>
      </c>
    </row>
    <row r="19" spans="1:11">
      <c r="A19" s="149" t="s">
        <v>13</v>
      </c>
      <c r="B19" s="144" t="s">
        <v>947</v>
      </c>
      <c r="C19" s="22">
        <f>+C20+C30+C31+C32</f>
        <v>2876249</v>
      </c>
      <c r="D19" s="62">
        <f>+D20+D30+D31+D32</f>
        <v>2876249</v>
      </c>
      <c r="E19" s="60">
        <f>+E20+E30+E31+E32</f>
        <v>0</v>
      </c>
      <c r="F19" s="61">
        <f>+F20+F30+F31+F32</f>
        <v>0</v>
      </c>
      <c r="G19" s="144" t="s">
        <v>946</v>
      </c>
      <c r="H19" s="22">
        <f>+H20+H30+H31+H32</f>
        <v>30446</v>
      </c>
      <c r="I19" s="62">
        <f>+I20+I30+I31+I32</f>
        <v>30446</v>
      </c>
      <c r="J19" s="60">
        <f>+J20+J30+J31+J32</f>
        <v>0</v>
      </c>
      <c r="K19" s="61">
        <f>+K20+K30+K31+K32</f>
        <v>0</v>
      </c>
    </row>
    <row r="20" spans="1:11" s="14" customFormat="1">
      <c r="A20" s="100" t="s">
        <v>66</v>
      </c>
      <c r="B20" s="81" t="s">
        <v>944</v>
      </c>
      <c r="C20" s="36">
        <f>+C21+C22+C23+C24+C25+C26+C27+C28+C29</f>
        <v>2876249</v>
      </c>
      <c r="D20" s="41">
        <f>+D21+D22+D23+D24+D25+D26+D27+D28+D29</f>
        <v>2876249</v>
      </c>
      <c r="E20" s="11">
        <f>+E21+E22+E23+E24+E25+E26+E27+E28+E29</f>
        <v>0</v>
      </c>
      <c r="F20" s="42">
        <f>+F21+F22+F23+F24+F25+F26+F27+F28+F29</f>
        <v>0</v>
      </c>
      <c r="G20" s="81" t="s">
        <v>945</v>
      </c>
      <c r="H20" s="36">
        <f>+H21+H22+H23+H24+H25+H26+H27+H28+H29</f>
        <v>30446</v>
      </c>
      <c r="I20" s="41">
        <f>+I21+I22+I23+I24+I25+I26+I27+I28+I29</f>
        <v>30446</v>
      </c>
      <c r="J20" s="11">
        <f>+J21+J22+J23+J24+J25+J26+J27+J28+J29</f>
        <v>0</v>
      </c>
      <c r="K20" s="42">
        <f>+K21+K22+K23+K24+K25+K26+K27+K28+K29</f>
        <v>0</v>
      </c>
    </row>
    <row r="21" spans="1:11" s="14" customFormat="1">
      <c r="A21" s="102" t="s">
        <v>362</v>
      </c>
      <c r="B21" s="82" t="s">
        <v>245</v>
      </c>
      <c r="C21" s="24">
        <f t="shared" ref="C21:C31" si="2">+D21+E21+F21</f>
        <v>0</v>
      </c>
      <c r="D21" s="20">
        <f>+'1.mell._Össz_Mérleg2020'!D74</f>
        <v>0</v>
      </c>
      <c r="E21" s="13">
        <f>+'1.mell._Össz_Mérleg2020'!E74</f>
        <v>0</v>
      </c>
      <c r="F21" s="16">
        <f>+'1.mell._Össz_Mérleg2020'!F74</f>
        <v>0</v>
      </c>
      <c r="G21" s="82" t="s">
        <v>169</v>
      </c>
      <c r="H21" s="24">
        <f t="shared" ref="H21:H31" si="3">+I21+J21+K21</f>
        <v>0</v>
      </c>
      <c r="I21" s="20">
        <f>+'1.mell._Össz_Mérleg2020'!D180</f>
        <v>0</v>
      </c>
      <c r="J21" s="13">
        <f>+'1.mell._Össz_Mérleg2020'!E180</f>
        <v>0</v>
      </c>
      <c r="K21" s="16">
        <f>+'1.mell._Össz_Mérleg2020'!F180</f>
        <v>0</v>
      </c>
    </row>
    <row r="22" spans="1:11" s="14" customFormat="1">
      <c r="A22" s="102" t="s">
        <v>363</v>
      </c>
      <c r="B22" s="82" t="s">
        <v>246</v>
      </c>
      <c r="C22" s="24">
        <f t="shared" si="2"/>
        <v>0</v>
      </c>
      <c r="D22" s="20">
        <f>+'1.mell._Össz_Mérleg2020'!D75</f>
        <v>0</v>
      </c>
      <c r="E22" s="13">
        <f>+'1.mell._Össz_Mérleg2020'!E75</f>
        <v>0</v>
      </c>
      <c r="F22" s="16">
        <f>+'1.mell._Össz_Mérleg2020'!F75</f>
        <v>0</v>
      </c>
      <c r="G22" s="82" t="s">
        <v>170</v>
      </c>
      <c r="H22" s="24">
        <f t="shared" si="3"/>
        <v>0</v>
      </c>
      <c r="I22" s="20">
        <f>+'1.mell._Össz_Mérleg2020'!D181</f>
        <v>0</v>
      </c>
      <c r="J22" s="13">
        <f>+'1.mell._Össz_Mérleg2020'!E181</f>
        <v>0</v>
      </c>
      <c r="K22" s="16">
        <f>+'1.mell._Össz_Mérleg2020'!F181</f>
        <v>0</v>
      </c>
    </row>
    <row r="23" spans="1:11" s="14" customFormat="1">
      <c r="A23" s="102" t="s">
        <v>364</v>
      </c>
      <c r="B23" s="82" t="s">
        <v>247</v>
      </c>
      <c r="C23" s="24">
        <f t="shared" si="2"/>
        <v>2876249</v>
      </c>
      <c r="D23" s="20">
        <f>+'1.mell._Össz_Mérleg2020'!D76</f>
        <v>2876249</v>
      </c>
      <c r="E23" s="13">
        <f>+'1.mell._Össz_Mérleg2020'!E76</f>
        <v>0</v>
      </c>
      <c r="F23" s="16">
        <f>+'1.mell._Össz_Mérleg2020'!F76</f>
        <v>0</v>
      </c>
      <c r="G23" s="82" t="s">
        <v>171</v>
      </c>
      <c r="H23" s="24">
        <f t="shared" si="3"/>
        <v>0</v>
      </c>
      <c r="I23" s="20">
        <f>+'1.mell._Össz_Mérleg2020'!D182</f>
        <v>0</v>
      </c>
      <c r="J23" s="13">
        <f>+'1.mell._Össz_Mérleg2020'!E182</f>
        <v>0</v>
      </c>
      <c r="K23" s="16">
        <f>+'1.mell._Össz_Mérleg2020'!F182</f>
        <v>0</v>
      </c>
    </row>
    <row r="24" spans="1:11" s="14" customFormat="1">
      <c r="A24" s="102" t="s">
        <v>365</v>
      </c>
      <c r="B24" s="82" t="s">
        <v>248</v>
      </c>
      <c r="C24" s="24">
        <f t="shared" si="2"/>
        <v>0</v>
      </c>
      <c r="D24" s="20">
        <f>+'1.mell._Össz_Mérleg2020'!D77</f>
        <v>0</v>
      </c>
      <c r="E24" s="13">
        <f>+'1.mell._Össz_Mérleg2020'!E77</f>
        <v>0</v>
      </c>
      <c r="F24" s="16">
        <f>+'1.mell._Össz_Mérleg2020'!F77</f>
        <v>0</v>
      </c>
      <c r="G24" s="82" t="s">
        <v>172</v>
      </c>
      <c r="H24" s="24">
        <f t="shared" si="3"/>
        <v>30446</v>
      </c>
      <c r="I24" s="20">
        <f>+'1.mell._Össz_Mérleg2020'!D183</f>
        <v>30446</v>
      </c>
      <c r="J24" s="13">
        <f>+'1.mell._Össz_Mérleg2020'!E183</f>
        <v>0</v>
      </c>
      <c r="K24" s="16">
        <f>+'1.mell._Össz_Mérleg2020'!F183</f>
        <v>0</v>
      </c>
    </row>
    <row r="25" spans="1:11" s="14" customFormat="1">
      <c r="A25" s="102" t="s">
        <v>366</v>
      </c>
      <c r="B25" s="82" t="s">
        <v>249</v>
      </c>
      <c r="C25" s="24">
        <f t="shared" si="2"/>
        <v>0</v>
      </c>
      <c r="D25" s="20">
        <f>+'1.mell._Össz_Mérleg2020'!D78</f>
        <v>0</v>
      </c>
      <c r="E25" s="13">
        <f>+'1.mell._Össz_Mérleg2020'!E78</f>
        <v>0</v>
      </c>
      <c r="F25" s="16">
        <f>+'1.mell._Össz_Mérleg2020'!F78</f>
        <v>0</v>
      </c>
      <c r="G25" s="82" t="s">
        <v>173</v>
      </c>
      <c r="H25" s="24">
        <f t="shared" si="3"/>
        <v>0</v>
      </c>
      <c r="I25" s="20">
        <f>+'1.mell._Össz_Mérleg2020'!D184</f>
        <v>0</v>
      </c>
      <c r="J25" s="13">
        <f>+'1.mell._Össz_Mérleg2020'!E184</f>
        <v>0</v>
      </c>
      <c r="K25" s="16">
        <f>+'1.mell._Össz_Mérleg2020'!F184</f>
        <v>0</v>
      </c>
    </row>
    <row r="26" spans="1:11" s="14" customFormat="1">
      <c r="A26" s="102" t="s">
        <v>367</v>
      </c>
      <c r="B26" s="82" t="s">
        <v>250</v>
      </c>
      <c r="C26" s="24">
        <f t="shared" si="2"/>
        <v>0</v>
      </c>
      <c r="D26" s="20">
        <f>+'1.mell._Össz_Mérleg2020'!D79</f>
        <v>0</v>
      </c>
      <c r="E26" s="13">
        <f>+'1.mell._Össz_Mérleg2020'!E79</f>
        <v>0</v>
      </c>
      <c r="F26" s="16">
        <f>+'1.mell._Össz_Mérleg2020'!F79</f>
        <v>0</v>
      </c>
      <c r="G26" s="82" t="s">
        <v>178</v>
      </c>
      <c r="H26" s="24">
        <f t="shared" si="3"/>
        <v>0</v>
      </c>
      <c r="I26" s="20">
        <f>+'1.mell._Össz_Mérleg2020'!D185</f>
        <v>0</v>
      </c>
      <c r="J26" s="13">
        <f>+'1.mell._Össz_Mérleg2020'!E185</f>
        <v>0</v>
      </c>
      <c r="K26" s="16">
        <f>+'1.mell._Össz_Mérleg2020'!F185</f>
        <v>0</v>
      </c>
    </row>
    <row r="27" spans="1:11" s="14" customFormat="1">
      <c r="A27" s="102" t="s">
        <v>368</v>
      </c>
      <c r="B27" s="82" t="s">
        <v>251</v>
      </c>
      <c r="C27" s="24">
        <f t="shared" si="2"/>
        <v>0</v>
      </c>
      <c r="D27" s="20">
        <f>+'1.mell._Össz_Mérleg2020'!D80</f>
        <v>0</v>
      </c>
      <c r="E27" s="13">
        <f>+'1.mell._Össz_Mérleg2020'!E80</f>
        <v>0</v>
      </c>
      <c r="F27" s="16">
        <f>+'1.mell._Össz_Mérleg2020'!F80</f>
        <v>0</v>
      </c>
      <c r="G27" s="82" t="s">
        <v>174</v>
      </c>
      <c r="H27" s="24">
        <f t="shared" si="3"/>
        <v>0</v>
      </c>
      <c r="I27" s="20">
        <f>+'1.mell._Össz_Mérleg2020'!D186</f>
        <v>0</v>
      </c>
      <c r="J27" s="13">
        <f>+'1.mell._Össz_Mérleg2020'!E186</f>
        <v>0</v>
      </c>
      <c r="K27" s="16">
        <f>+'1.mell._Össz_Mérleg2020'!F186</f>
        <v>0</v>
      </c>
    </row>
    <row r="28" spans="1:11">
      <c r="A28" s="102" t="s">
        <v>369</v>
      </c>
      <c r="B28" s="82" t="s">
        <v>244</v>
      </c>
      <c r="C28" s="24">
        <f t="shared" si="2"/>
        <v>0</v>
      </c>
      <c r="D28" s="20">
        <f>+'1.mell._Össz_Mérleg2020'!D81</f>
        <v>0</v>
      </c>
      <c r="E28" s="13">
        <f>+'1.mell._Össz_Mérleg2020'!E81</f>
        <v>0</v>
      </c>
      <c r="F28" s="16">
        <f>+'1.mell._Össz_Mérleg2020'!F81</f>
        <v>0</v>
      </c>
      <c r="G28" s="82" t="s">
        <v>175</v>
      </c>
      <c r="H28" s="24">
        <f t="shared" si="3"/>
        <v>0</v>
      </c>
      <c r="I28" s="20">
        <f>+'1.mell._Össz_Mérleg2020'!D187</f>
        <v>0</v>
      </c>
      <c r="J28" s="13">
        <f>+'1.mell._Össz_Mérleg2020'!E187</f>
        <v>0</v>
      </c>
      <c r="K28" s="16">
        <f>+'1.mell._Össz_Mérleg2020'!F187</f>
        <v>0</v>
      </c>
    </row>
    <row r="29" spans="1:11">
      <c r="A29" s="102" t="s">
        <v>943</v>
      </c>
      <c r="B29" s="82" t="s">
        <v>913</v>
      </c>
      <c r="C29" s="24">
        <f>+D29+E29+F29</f>
        <v>0</v>
      </c>
      <c r="D29" s="20">
        <f>+'1.mell._Össz_Mérleg2020'!D82</f>
        <v>0</v>
      </c>
      <c r="E29" s="13">
        <f>+'1.mell._Össz_Mérleg2020'!E82</f>
        <v>0</v>
      </c>
      <c r="F29" s="16">
        <f>+'1.mell._Össz_Mérleg2020'!F82</f>
        <v>0</v>
      </c>
      <c r="G29" s="82" t="s">
        <v>937</v>
      </c>
      <c r="H29" s="24">
        <f>+I29+J29+K29</f>
        <v>0</v>
      </c>
      <c r="I29" s="20">
        <f>+'1.mell._Össz_Mérleg2020'!D188</f>
        <v>0</v>
      </c>
      <c r="J29" s="13">
        <f>+'1.mell._Össz_Mérleg2020'!E188</f>
        <v>0</v>
      </c>
      <c r="K29" s="16">
        <f>+'1.mell._Össz_Mérleg2020'!F188</f>
        <v>0</v>
      </c>
    </row>
    <row r="30" spans="1:11">
      <c r="A30" s="101" t="s">
        <v>67</v>
      </c>
      <c r="B30" s="83" t="s">
        <v>242</v>
      </c>
      <c r="C30" s="23">
        <f t="shared" si="2"/>
        <v>0</v>
      </c>
      <c r="D30" s="21">
        <f>+'1.mell._Össz_Mérleg2020'!D83</f>
        <v>0</v>
      </c>
      <c r="E30" s="12">
        <f>+'1.mell._Össz_Mérleg2020'!E83</f>
        <v>0</v>
      </c>
      <c r="F30" s="17">
        <f>+'1.mell._Össz_Mérleg2020'!F83</f>
        <v>0</v>
      </c>
      <c r="G30" s="83" t="s">
        <v>176</v>
      </c>
      <c r="H30" s="23">
        <f t="shared" si="3"/>
        <v>0</v>
      </c>
      <c r="I30" s="21">
        <f>+'1.mell._Össz_Mérleg2020'!D189</f>
        <v>0</v>
      </c>
      <c r="J30" s="12">
        <f>+'1.mell._Össz_Mérleg2020'!E189</f>
        <v>0</v>
      </c>
      <c r="K30" s="17">
        <f>+'1.mell._Össz_Mérleg2020'!F189</f>
        <v>0</v>
      </c>
    </row>
    <row r="31" spans="1:11" s="3" customFormat="1">
      <c r="A31" s="94" t="s">
        <v>68</v>
      </c>
      <c r="B31" s="84" t="s">
        <v>243</v>
      </c>
      <c r="C31" s="26">
        <f t="shared" si="2"/>
        <v>0</v>
      </c>
      <c r="D31" s="27">
        <f>+'1.mell._Össz_Mérleg2020'!D84</f>
        <v>0</v>
      </c>
      <c r="E31" s="28">
        <f>+'1.mell._Össz_Mérleg2020'!E84</f>
        <v>0</v>
      </c>
      <c r="F31" s="29">
        <f>+'1.mell._Össz_Mérleg2020'!F84</f>
        <v>0</v>
      </c>
      <c r="G31" s="84" t="s">
        <v>177</v>
      </c>
      <c r="H31" s="26">
        <f t="shared" si="3"/>
        <v>0</v>
      </c>
      <c r="I31" s="27">
        <f>+'1.mell._Össz_Mérleg2020'!D190</f>
        <v>0</v>
      </c>
      <c r="J31" s="28">
        <f>+'1.mell._Össz_Mérleg2020'!E190</f>
        <v>0</v>
      </c>
      <c r="K31" s="29">
        <f>+'1.mell._Össz_Mérleg2020'!F190</f>
        <v>0</v>
      </c>
    </row>
    <row r="32" spans="1:11" s="3" customFormat="1" ht="12.75" thickBot="1">
      <c r="A32" s="94" t="s">
        <v>229</v>
      </c>
      <c r="B32" s="84" t="s">
        <v>915</v>
      </c>
      <c r="C32" s="26">
        <f>+D32+E32+F32</f>
        <v>0</v>
      </c>
      <c r="D32" s="27">
        <f>+'1.mell._Össz_Mérleg2020'!D85</f>
        <v>0</v>
      </c>
      <c r="E32" s="28">
        <f>+'1.mell._Össz_Mérleg2020'!E85</f>
        <v>0</v>
      </c>
      <c r="F32" s="29">
        <f>+'1.mell._Össz_Mérleg2020'!F85</f>
        <v>0</v>
      </c>
      <c r="G32" s="84" t="s">
        <v>938</v>
      </c>
      <c r="H32" s="26">
        <f>+I32+J32+K32</f>
        <v>0</v>
      </c>
      <c r="I32" s="27">
        <f>+'1.mell._Össz_Mérleg2020'!D191</f>
        <v>0</v>
      </c>
      <c r="J32" s="28">
        <f>+'1.mell._Össz_Mérleg2020'!E191</f>
        <v>0</v>
      </c>
      <c r="K32" s="29">
        <f>+'1.mell._Össz_Mérleg2020'!F191</f>
        <v>0</v>
      </c>
    </row>
    <row r="33" spans="1:11" s="3" customFormat="1" ht="12.75" thickBot="1">
      <c r="A33" s="97" t="s">
        <v>12</v>
      </c>
      <c r="B33" s="161" t="s">
        <v>383</v>
      </c>
      <c r="C33" s="43">
        <f>+C8+C18</f>
        <v>4469448</v>
      </c>
      <c r="D33" s="160">
        <f>+D8+D18</f>
        <v>4416504</v>
      </c>
      <c r="E33" s="159">
        <f>+E8+E18</f>
        <v>52944</v>
      </c>
      <c r="F33" s="158">
        <f>+F8+F18</f>
        <v>0</v>
      </c>
      <c r="G33" s="145" t="s">
        <v>386</v>
      </c>
      <c r="H33" s="44">
        <f>+H8+H18</f>
        <v>4049194</v>
      </c>
      <c r="I33" s="33">
        <f>+I8+I18</f>
        <v>3982729</v>
      </c>
      <c r="J33" s="34">
        <f>+J8+J18</f>
        <v>66465</v>
      </c>
      <c r="K33" s="35">
        <f>+K8+K18</f>
        <v>0</v>
      </c>
    </row>
    <row r="34" spans="1:11" s="3" customFormat="1" ht="12.75" thickBot="1">
      <c r="A34" s="99" t="s">
        <v>11</v>
      </c>
      <c r="B34" s="85" t="s">
        <v>384</v>
      </c>
      <c r="C34" s="168">
        <f>IF(((H8-C8)&gt;0),H8-C8,"----")</f>
        <v>2425549</v>
      </c>
      <c r="D34" s="167">
        <f>IF(((I8-D8)&gt;0),I8-D8,"----")</f>
        <v>2412028</v>
      </c>
      <c r="E34" s="166">
        <f>IF(((J8-E8)&gt;0),J8-E8,"----")</f>
        <v>13521</v>
      </c>
      <c r="F34" s="165" t="str">
        <f>IF(((K8-F8)&gt;0),K8-F8,"----")</f>
        <v>----</v>
      </c>
      <c r="G34" s="85" t="s">
        <v>385</v>
      </c>
      <c r="H34" s="168" t="str">
        <f>IF(((C8-H8)&gt;0),C8-H8,"----")</f>
        <v>----</v>
      </c>
      <c r="I34" s="167" t="str">
        <f>IF(((D8-I8)&gt;0),D8-I8,"----")</f>
        <v>----</v>
      </c>
      <c r="J34" s="166" t="str">
        <f>IF(((E8-J8)&gt;0),E8-J8,"----")</f>
        <v>----</v>
      </c>
      <c r="K34" s="165" t="str">
        <f>IF(((F8-K8)&gt;0),F8-K8,"----")</f>
        <v>----</v>
      </c>
    </row>
    <row r="35" spans="1:11" s="3" customFormat="1" ht="12.75" thickBot="1">
      <c r="A35" s="99" t="s">
        <v>10</v>
      </c>
      <c r="B35" s="85" t="s">
        <v>388</v>
      </c>
      <c r="C35" s="168" t="str">
        <f>IF(((H18-C18)&gt;0),H18-C18,"----")</f>
        <v>----</v>
      </c>
      <c r="D35" s="167" t="str">
        <f>IF(((I18-D18)&gt;0),I18-D18,"----")</f>
        <v>----</v>
      </c>
      <c r="E35" s="166" t="str">
        <f>IF(((J18-E18)&gt;0),J18-E18,"----")</f>
        <v>----</v>
      </c>
      <c r="F35" s="165" t="str">
        <f>IF(((K18-F18)&gt;0),K18-F18,"----")</f>
        <v>----</v>
      </c>
      <c r="G35" s="85" t="s">
        <v>389</v>
      </c>
      <c r="H35" s="168">
        <f>IF(((C18-H18)&gt;0),C18-H18,"----")</f>
        <v>2845803</v>
      </c>
      <c r="I35" s="167">
        <f>IF(((D18-I18)&gt;0),D18-I18,"----")</f>
        <v>2845803</v>
      </c>
      <c r="J35" s="166" t="str">
        <f>IF(((E18-J18)&gt;0),E18-J18,"----")</f>
        <v>----</v>
      </c>
      <c r="K35" s="165" t="str">
        <f>IF(((F18-K18)&gt;0),F18-K18,"----")</f>
        <v>----</v>
      </c>
    </row>
  </sheetData>
  <mergeCells count="4">
    <mergeCell ref="A3:K3"/>
    <mergeCell ref="A4:K4"/>
    <mergeCell ref="C7:F7"/>
    <mergeCell ref="H7:K7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Munka14">
    <tabColor rgb="FF00B0F0"/>
    <pageSetUpPr fitToPage="1"/>
  </sheetPr>
  <dimension ref="A1:K39"/>
  <sheetViews>
    <sheetView zoomScaleNormal="100" workbookViewId="0"/>
  </sheetViews>
  <sheetFormatPr defaultColWidth="9.140625" defaultRowHeight="12"/>
  <cols>
    <col min="1" max="1" width="6.5703125" style="4" customWidth="1"/>
    <col min="2" max="2" width="70.42578125" style="4" customWidth="1"/>
    <col min="3" max="6" width="9.28515625" style="4" customWidth="1"/>
    <col min="7" max="7" width="60" style="4" customWidth="1"/>
    <col min="8" max="11" width="9.28515625" style="4" customWidth="1"/>
    <col min="12" max="16384" width="9.140625" style="4"/>
  </cols>
  <sheetData>
    <row r="1" spans="1:11" s="63" customFormat="1" ht="15.75">
      <c r="K1" s="64" t="s">
        <v>390</v>
      </c>
    </row>
    <row r="2" spans="1:11" s="63" customFormat="1" ht="15.75"/>
    <row r="3" spans="1:11" s="65" customFormat="1" ht="15.75">
      <c r="A3" s="1210" t="s">
        <v>330</v>
      </c>
      <c r="B3" s="1210"/>
      <c r="C3" s="1210"/>
      <c r="D3" s="1210"/>
      <c r="E3" s="1210"/>
      <c r="F3" s="1210"/>
      <c r="G3" s="1210"/>
      <c r="H3" s="1210"/>
      <c r="I3" s="1210"/>
      <c r="J3" s="1210"/>
      <c r="K3" s="1210"/>
    </row>
    <row r="4" spans="1:11" s="65" customFormat="1" ht="15.75">
      <c r="A4" s="1210" t="s">
        <v>1446</v>
      </c>
      <c r="B4" s="1210"/>
      <c r="C4" s="1210"/>
      <c r="D4" s="1210"/>
      <c r="E4" s="1210"/>
      <c r="F4" s="1210"/>
      <c r="G4" s="1210"/>
      <c r="H4" s="1210"/>
      <c r="I4" s="1210"/>
      <c r="J4" s="1210"/>
      <c r="K4" s="1210"/>
    </row>
    <row r="5" spans="1:11" s="46" customFormat="1" ht="12.75" thickBot="1">
      <c r="A5" s="48"/>
      <c r="K5" s="47" t="s">
        <v>280</v>
      </c>
    </row>
    <row r="6" spans="1:11" s="9" customFormat="1" ht="54" customHeight="1" thickBot="1">
      <c r="A6" s="95" t="s">
        <v>17</v>
      </c>
      <c r="B6" s="109" t="s">
        <v>327</v>
      </c>
      <c r="C6" s="156" t="s">
        <v>1442</v>
      </c>
      <c r="D6" s="155" t="s">
        <v>51</v>
      </c>
      <c r="E6" s="154" t="s">
        <v>52</v>
      </c>
      <c r="F6" s="153" t="s">
        <v>53</v>
      </c>
      <c r="G6" s="96" t="s">
        <v>328</v>
      </c>
      <c r="H6" s="95" t="s">
        <v>1442</v>
      </c>
      <c r="I6" s="155" t="s">
        <v>51</v>
      </c>
      <c r="J6" s="154" t="s">
        <v>52</v>
      </c>
      <c r="K6" s="153" t="s">
        <v>53</v>
      </c>
    </row>
    <row r="7" spans="1:11" s="3" customFormat="1" ht="12.75" thickBot="1">
      <c r="A7" s="99" t="s">
        <v>252</v>
      </c>
      <c r="B7" s="110" t="s">
        <v>253</v>
      </c>
      <c r="C7" s="1221" t="s">
        <v>254</v>
      </c>
      <c r="D7" s="1222"/>
      <c r="E7" s="1222"/>
      <c r="F7" s="1223"/>
      <c r="G7" s="98" t="s">
        <v>360</v>
      </c>
      <c r="H7" s="1224" t="s">
        <v>361</v>
      </c>
      <c r="I7" s="1225"/>
      <c r="J7" s="1225"/>
      <c r="K7" s="1226"/>
    </row>
    <row r="8" spans="1:11" s="3" customFormat="1" ht="12.75" thickBot="1">
      <c r="A8" s="111" t="s">
        <v>4</v>
      </c>
      <c r="B8" s="79" t="s">
        <v>401</v>
      </c>
      <c r="C8" s="43">
        <f>+C9+C11+C13+C15</f>
        <v>73726</v>
      </c>
      <c r="D8" s="38">
        <f>+D9+D11+D13+D15</f>
        <v>72626</v>
      </c>
      <c r="E8" s="39">
        <f>+E9+E11+E13+E15</f>
        <v>1100</v>
      </c>
      <c r="F8" s="40">
        <f>+F9+F11+F13+F15</f>
        <v>0</v>
      </c>
      <c r="G8" s="85" t="s">
        <v>402</v>
      </c>
      <c r="H8" s="44">
        <f>+H9+H11+H13+H15+H16</f>
        <v>503980</v>
      </c>
      <c r="I8" s="33">
        <f>+I9+I11+I13+I15+I16</f>
        <v>157730</v>
      </c>
      <c r="J8" s="34">
        <f>+J9+J11+J13+J15+J16</f>
        <v>346250</v>
      </c>
      <c r="K8" s="35">
        <f>+K9+K11+K13+K15+K16</f>
        <v>0</v>
      </c>
    </row>
    <row r="9" spans="1:11" ht="12.75" customHeight="1">
      <c r="A9" s="149" t="s">
        <v>5</v>
      </c>
      <c r="B9" s="144" t="s">
        <v>398</v>
      </c>
      <c r="C9" s="22">
        <f>+D9+E9+F9</f>
        <v>32276</v>
      </c>
      <c r="D9" s="62">
        <f>+'1.mell._Össz_Mérleg2020'!D51</f>
        <v>32276</v>
      </c>
      <c r="E9" s="60">
        <f>+'1.mell._Össz_Mérleg2020'!E51</f>
        <v>0</v>
      </c>
      <c r="F9" s="61">
        <f>+'1.mell._Össz_Mérleg2020'!F51</f>
        <v>0</v>
      </c>
      <c r="G9" s="150" t="s">
        <v>403</v>
      </c>
      <c r="H9" s="22">
        <f>+I9+J9+K9</f>
        <v>436722</v>
      </c>
      <c r="I9" s="62">
        <f>+'1.mell._Össz_Mérleg2020'!D150</f>
        <v>90472</v>
      </c>
      <c r="J9" s="60">
        <f>+'1.mell._Össz_Mérleg2020'!E150</f>
        <v>346250</v>
      </c>
      <c r="K9" s="61">
        <f>+'1.mell._Össz_Mérleg2020'!F150</f>
        <v>0</v>
      </c>
    </row>
    <row r="10" spans="1:11" s="14" customFormat="1" ht="24">
      <c r="A10" s="102" t="s">
        <v>348</v>
      </c>
      <c r="B10" s="162"/>
      <c r="C10" s="24">
        <f t="shared" ref="C10:C17" si="0">+D10+E10+F10</f>
        <v>0</v>
      </c>
      <c r="D10" s="20"/>
      <c r="E10" s="13"/>
      <c r="F10" s="16"/>
      <c r="G10" s="164" t="s">
        <v>341</v>
      </c>
      <c r="H10" s="24">
        <f t="shared" ref="H10:H17" si="1">+I10+J10+K10</f>
        <v>0</v>
      </c>
      <c r="I10" s="20">
        <f>+'1.mell._Össz_Mérleg2020'!D151</f>
        <v>0</v>
      </c>
      <c r="J10" s="13">
        <f>+'1.mell._Össz_Mérleg2020'!E151</f>
        <v>0</v>
      </c>
      <c r="K10" s="16">
        <f>+'1.mell._Össz_Mérleg2020'!F151</f>
        <v>0</v>
      </c>
    </row>
    <row r="11" spans="1:11" ht="12.75" customHeight="1">
      <c r="A11" s="101" t="s">
        <v>6</v>
      </c>
      <c r="B11" s="151" t="s">
        <v>399</v>
      </c>
      <c r="C11" s="23">
        <f t="shared" si="0"/>
        <v>40350</v>
      </c>
      <c r="D11" s="21">
        <f>+'1.mell._Össz_Mérleg2020'!D58</f>
        <v>40350</v>
      </c>
      <c r="E11" s="12">
        <f>+'1.mell._Össz_Mérleg2020'!E58</f>
        <v>0</v>
      </c>
      <c r="F11" s="17">
        <f>+'1.mell._Össz_Mérleg2020'!F58</f>
        <v>0</v>
      </c>
      <c r="G11" s="152" t="s">
        <v>404</v>
      </c>
      <c r="H11" s="23">
        <f t="shared" si="1"/>
        <v>67258</v>
      </c>
      <c r="I11" s="21">
        <f>+'1.mell._Össz_Mérleg2020'!D159</f>
        <v>67258</v>
      </c>
      <c r="J11" s="12">
        <f>+'1.mell._Össz_Mérleg2020'!E159</f>
        <v>0</v>
      </c>
      <c r="K11" s="17">
        <f>+'1.mell._Össz_Mérleg2020'!F159</f>
        <v>0</v>
      </c>
    </row>
    <row r="12" spans="1:11" s="14" customFormat="1" ht="24">
      <c r="A12" s="102" t="s">
        <v>345</v>
      </c>
      <c r="B12" s="146"/>
      <c r="C12" s="24">
        <f t="shared" si="0"/>
        <v>0</v>
      </c>
      <c r="D12" s="20"/>
      <c r="E12" s="13"/>
      <c r="F12" s="16"/>
      <c r="G12" s="164" t="s">
        <v>344</v>
      </c>
      <c r="H12" s="24">
        <f t="shared" si="1"/>
        <v>0</v>
      </c>
      <c r="I12" s="20">
        <f>+'1.mell._Össz_Mérleg2020'!D160</f>
        <v>0</v>
      </c>
      <c r="J12" s="13">
        <f>+'1.mell._Össz_Mérleg2020'!E160</f>
        <v>0</v>
      </c>
      <c r="K12" s="16">
        <f>+'1.mell._Össz_Mérleg2020'!F160</f>
        <v>0</v>
      </c>
    </row>
    <row r="13" spans="1:11">
      <c r="A13" s="101" t="s">
        <v>3</v>
      </c>
      <c r="B13" s="151" t="s">
        <v>400</v>
      </c>
      <c r="C13" s="23">
        <f t="shared" si="0"/>
        <v>1100</v>
      </c>
      <c r="D13" s="21">
        <f>+'1.mell._Össz_Mérleg2020'!D64</f>
        <v>0</v>
      </c>
      <c r="E13" s="12">
        <f>+'1.mell._Össz_Mérleg2020'!E64</f>
        <v>1100</v>
      </c>
      <c r="F13" s="17">
        <f>+'1.mell._Össz_Mérleg2020'!F64</f>
        <v>0</v>
      </c>
      <c r="G13" s="152" t="s">
        <v>405</v>
      </c>
      <c r="H13" s="23">
        <f t="shared" si="1"/>
        <v>0</v>
      </c>
      <c r="I13" s="21">
        <f>+'1.mell._Össz_Mérleg2020'!D165</f>
        <v>0</v>
      </c>
      <c r="J13" s="12">
        <f>+'1.mell._Össz_Mérleg2020'!E165</f>
        <v>0</v>
      </c>
      <c r="K13" s="17">
        <f>+'1.mell._Össz_Mérleg2020'!F165</f>
        <v>0</v>
      </c>
    </row>
    <row r="14" spans="1:11" s="14" customFormat="1" ht="24">
      <c r="A14" s="102" t="s">
        <v>340</v>
      </c>
      <c r="B14" s="147"/>
      <c r="C14" s="24">
        <f t="shared" si="0"/>
        <v>0</v>
      </c>
      <c r="D14" s="20"/>
      <c r="E14" s="13"/>
      <c r="F14" s="16"/>
      <c r="G14" s="164" t="s">
        <v>339</v>
      </c>
      <c r="H14" s="24">
        <f t="shared" si="1"/>
        <v>0</v>
      </c>
      <c r="I14" s="20">
        <f>+'1.mell._Össz_Mérleg2020'!D170</f>
        <v>0</v>
      </c>
      <c r="J14" s="13">
        <f>+'1.mell._Össz_Mérleg2020'!E170</f>
        <v>0</v>
      </c>
      <c r="K14" s="16">
        <f>+'1.mell._Össz_Mérleg2020'!F170</f>
        <v>0</v>
      </c>
    </row>
    <row r="15" spans="1:11" ht="12.75" customHeight="1">
      <c r="A15" s="101" t="s">
        <v>16</v>
      </c>
      <c r="B15" s="151"/>
      <c r="C15" s="23">
        <f t="shared" si="0"/>
        <v>0</v>
      </c>
      <c r="D15" s="21"/>
      <c r="E15" s="12"/>
      <c r="F15" s="17"/>
      <c r="G15" s="152"/>
      <c r="H15" s="23">
        <f t="shared" si="1"/>
        <v>0</v>
      </c>
      <c r="I15" s="21"/>
      <c r="J15" s="12"/>
      <c r="K15" s="17"/>
    </row>
    <row r="16" spans="1:11" s="14" customFormat="1">
      <c r="A16" s="101" t="s">
        <v>15</v>
      </c>
      <c r="B16" s="151"/>
      <c r="C16" s="23">
        <f t="shared" si="0"/>
        <v>0</v>
      </c>
      <c r="D16" s="21"/>
      <c r="E16" s="12"/>
      <c r="F16" s="17"/>
      <c r="G16" s="152"/>
      <c r="H16" s="23">
        <f t="shared" si="1"/>
        <v>0</v>
      </c>
      <c r="I16" s="21"/>
      <c r="J16" s="12"/>
      <c r="K16" s="17"/>
    </row>
    <row r="17" spans="1:11" s="14" customFormat="1" ht="12.75" thickBot="1">
      <c r="A17" s="106" t="s">
        <v>359</v>
      </c>
      <c r="B17" s="148"/>
      <c r="C17" s="59">
        <f t="shared" si="0"/>
        <v>0</v>
      </c>
      <c r="D17" s="57"/>
      <c r="E17" s="52"/>
      <c r="F17" s="53"/>
      <c r="G17" s="163"/>
      <c r="H17" s="59">
        <f t="shared" si="1"/>
        <v>0</v>
      </c>
      <c r="I17" s="57"/>
      <c r="J17" s="52"/>
      <c r="K17" s="53"/>
    </row>
    <row r="18" spans="1:11" s="3" customFormat="1" ht="12.75" thickBot="1">
      <c r="A18" s="99" t="s">
        <v>14</v>
      </c>
      <c r="B18" s="86" t="s">
        <v>391</v>
      </c>
      <c r="C18" s="44">
        <f>+C19</f>
        <v>10000</v>
      </c>
      <c r="D18" s="33">
        <f>+D19</f>
        <v>10000</v>
      </c>
      <c r="E18" s="34">
        <f>+E19</f>
        <v>0</v>
      </c>
      <c r="F18" s="35">
        <f>+F19</f>
        <v>0</v>
      </c>
      <c r="G18" s="86" t="s">
        <v>397</v>
      </c>
      <c r="H18" s="44">
        <f>+H19</f>
        <v>0</v>
      </c>
      <c r="I18" s="33">
        <f>+I19</f>
        <v>0</v>
      </c>
      <c r="J18" s="34">
        <f>+J19</f>
        <v>0</v>
      </c>
      <c r="K18" s="35">
        <f>+K19</f>
        <v>0</v>
      </c>
    </row>
    <row r="19" spans="1:11">
      <c r="A19" s="149" t="s">
        <v>13</v>
      </c>
      <c r="B19" s="144" t="s">
        <v>948</v>
      </c>
      <c r="C19" s="22">
        <f>+C20+C30+C31</f>
        <v>10000</v>
      </c>
      <c r="D19" s="62">
        <f>+D20+D30+D31</f>
        <v>10000</v>
      </c>
      <c r="E19" s="60">
        <f>+E20+E30+E31</f>
        <v>0</v>
      </c>
      <c r="F19" s="61">
        <f>+F20+F30+F31</f>
        <v>0</v>
      </c>
      <c r="G19" s="144" t="s">
        <v>949</v>
      </c>
      <c r="H19" s="22">
        <f>+H20+H30+H31</f>
        <v>0</v>
      </c>
      <c r="I19" s="62">
        <f>+I20+I30+I31</f>
        <v>0</v>
      </c>
      <c r="J19" s="60">
        <f>+J20+J30+J31</f>
        <v>0</v>
      </c>
      <c r="K19" s="61">
        <f>+K20+K30+K31</f>
        <v>0</v>
      </c>
    </row>
    <row r="20" spans="1:11" s="14" customFormat="1">
      <c r="A20" s="100" t="s">
        <v>66</v>
      </c>
      <c r="B20" s="81" t="s">
        <v>944</v>
      </c>
      <c r="C20" s="36">
        <f>+C21+C22+C23+C24+C25+C26+C27+C28</f>
        <v>10000</v>
      </c>
      <c r="D20" s="41">
        <f>+D21+D22+D23+D24+D25+D26+D27+D28</f>
        <v>10000</v>
      </c>
      <c r="E20" s="11">
        <f>+E21+E22+E23+E24+E25+E26+E27+E28</f>
        <v>0</v>
      </c>
      <c r="F20" s="42">
        <f>+F21+F22+F23+F24+F25+F26+F27+F28</f>
        <v>0</v>
      </c>
      <c r="G20" s="81" t="s">
        <v>945</v>
      </c>
      <c r="H20" s="36">
        <f>+H21+H22+H23+H24+H25+H26+H27+H28</f>
        <v>0</v>
      </c>
      <c r="I20" s="41">
        <f>+I21+I22+I23+I24+I25+I26+I27+I28</f>
        <v>0</v>
      </c>
      <c r="J20" s="11">
        <f>+J21+J22+J23+J24+J25+J26+J27+J28</f>
        <v>0</v>
      </c>
      <c r="K20" s="42">
        <f>+K21+K22+K23+K24+K25+K26+K27+K28</f>
        <v>0</v>
      </c>
    </row>
    <row r="21" spans="1:11" s="14" customFormat="1">
      <c r="A21" s="102" t="s">
        <v>362</v>
      </c>
      <c r="B21" s="82" t="s">
        <v>245</v>
      </c>
      <c r="C21" s="24">
        <f t="shared" ref="C21:C31" si="2">+D21+E21+F21</f>
        <v>10000</v>
      </c>
      <c r="D21" s="20">
        <f>+'1.mell._Össz_Mérleg2020'!D89</f>
        <v>10000</v>
      </c>
      <c r="E21" s="13">
        <f>+'1.mell._Össz_Mérleg2020'!E89</f>
        <v>0</v>
      </c>
      <c r="F21" s="16">
        <f>+'1.mell._Össz_Mérleg2020'!F89</f>
        <v>0</v>
      </c>
      <c r="G21" s="82" t="s">
        <v>169</v>
      </c>
      <c r="H21" s="24">
        <f t="shared" ref="H21:H31" si="3">+I21+J21+K21</f>
        <v>0</v>
      </c>
      <c r="I21" s="20">
        <f>+'1.mell._Össz_Mérleg2020'!D195</f>
        <v>0</v>
      </c>
      <c r="J21" s="13">
        <f>+'1.mell._Össz_Mérleg2020'!E195</f>
        <v>0</v>
      </c>
      <c r="K21" s="16">
        <f>+'1.mell._Össz_Mérleg2020'!F195</f>
        <v>0</v>
      </c>
    </row>
    <row r="22" spans="1:11" s="14" customFormat="1">
      <c r="A22" s="102" t="s">
        <v>363</v>
      </c>
      <c r="B22" s="82" t="s">
        <v>246</v>
      </c>
      <c r="C22" s="24">
        <f t="shared" si="2"/>
        <v>0</v>
      </c>
      <c r="D22" s="20">
        <f>+'1.mell._Össz_Mérleg2020'!D90</f>
        <v>0</v>
      </c>
      <c r="E22" s="13">
        <f>+'1.mell._Össz_Mérleg2020'!E90</f>
        <v>0</v>
      </c>
      <c r="F22" s="16">
        <f>+'1.mell._Össz_Mérleg2020'!F90</f>
        <v>0</v>
      </c>
      <c r="G22" s="82" t="s">
        <v>170</v>
      </c>
      <c r="H22" s="24">
        <f t="shared" si="3"/>
        <v>0</v>
      </c>
      <c r="I22" s="20">
        <f>+'1.mell._Össz_Mérleg2020'!D196</f>
        <v>0</v>
      </c>
      <c r="J22" s="13">
        <f>+'1.mell._Össz_Mérleg2020'!E196</f>
        <v>0</v>
      </c>
      <c r="K22" s="16">
        <f>+'1.mell._Össz_Mérleg2020'!F196</f>
        <v>0</v>
      </c>
    </row>
    <row r="23" spans="1:11" s="14" customFormat="1">
      <c r="A23" s="102" t="s">
        <v>364</v>
      </c>
      <c r="B23" s="82" t="s">
        <v>247</v>
      </c>
      <c r="C23" s="24">
        <f t="shared" si="2"/>
        <v>0</v>
      </c>
      <c r="D23" s="20">
        <f>+'1.mell._Össz_Mérleg2020'!D91</f>
        <v>0</v>
      </c>
      <c r="E23" s="13">
        <f>+'1.mell._Össz_Mérleg2020'!E91</f>
        <v>0</v>
      </c>
      <c r="F23" s="16">
        <f>+'1.mell._Össz_Mérleg2020'!F91</f>
        <v>0</v>
      </c>
      <c r="G23" s="82" t="s">
        <v>171</v>
      </c>
      <c r="H23" s="24">
        <f t="shared" si="3"/>
        <v>0</v>
      </c>
      <c r="I23" s="20">
        <f>+'1.mell._Össz_Mérleg2020'!D197</f>
        <v>0</v>
      </c>
      <c r="J23" s="13">
        <f>+'1.mell._Össz_Mérleg2020'!E197</f>
        <v>0</v>
      </c>
      <c r="K23" s="16">
        <f>+'1.mell._Össz_Mérleg2020'!F197</f>
        <v>0</v>
      </c>
    </row>
    <row r="24" spans="1:11" s="14" customFormat="1">
      <c r="A24" s="102" t="s">
        <v>365</v>
      </c>
      <c r="B24" s="82" t="s">
        <v>248</v>
      </c>
      <c r="C24" s="24">
        <f t="shared" si="2"/>
        <v>0</v>
      </c>
      <c r="D24" s="20">
        <f>+'1.mell._Össz_Mérleg2020'!D92</f>
        <v>0</v>
      </c>
      <c r="E24" s="13">
        <f>+'1.mell._Össz_Mérleg2020'!E92</f>
        <v>0</v>
      </c>
      <c r="F24" s="16">
        <f>+'1.mell._Össz_Mérleg2020'!F92</f>
        <v>0</v>
      </c>
      <c r="G24" s="82" t="s">
        <v>172</v>
      </c>
      <c r="H24" s="24">
        <f t="shared" si="3"/>
        <v>0</v>
      </c>
      <c r="I24" s="20">
        <f>+'1.mell._Össz_Mérleg2020'!D198</f>
        <v>0</v>
      </c>
      <c r="J24" s="13">
        <f>+'1.mell._Össz_Mérleg2020'!E198</f>
        <v>0</v>
      </c>
      <c r="K24" s="16">
        <f>+'1.mell._Össz_Mérleg2020'!F198</f>
        <v>0</v>
      </c>
    </row>
    <row r="25" spans="1:11" s="14" customFormat="1">
      <c r="A25" s="102" t="s">
        <v>366</v>
      </c>
      <c r="B25" s="82" t="s">
        <v>249</v>
      </c>
      <c r="C25" s="24">
        <f t="shared" si="2"/>
        <v>0</v>
      </c>
      <c r="D25" s="20">
        <f>+'1.mell._Össz_Mérleg2020'!D93</f>
        <v>0</v>
      </c>
      <c r="E25" s="13">
        <f>+'1.mell._Össz_Mérleg2020'!E93</f>
        <v>0</v>
      </c>
      <c r="F25" s="16">
        <f>+'1.mell._Össz_Mérleg2020'!F93</f>
        <v>0</v>
      </c>
      <c r="G25" s="82" t="s">
        <v>173</v>
      </c>
      <c r="H25" s="24">
        <f t="shared" si="3"/>
        <v>0</v>
      </c>
      <c r="I25" s="20">
        <f>+'1.mell._Össz_Mérleg2020'!D199</f>
        <v>0</v>
      </c>
      <c r="J25" s="13">
        <f>+'1.mell._Össz_Mérleg2020'!E199</f>
        <v>0</v>
      </c>
      <c r="K25" s="16">
        <f>+'1.mell._Össz_Mérleg2020'!F199</f>
        <v>0</v>
      </c>
    </row>
    <row r="26" spans="1:11" s="14" customFormat="1">
      <c r="A26" s="102" t="s">
        <v>367</v>
      </c>
      <c r="B26" s="82" t="s">
        <v>250</v>
      </c>
      <c r="C26" s="24">
        <f t="shared" si="2"/>
        <v>0</v>
      </c>
      <c r="D26" s="20">
        <f>+'1.mell._Össz_Mérleg2020'!D94</f>
        <v>0</v>
      </c>
      <c r="E26" s="13">
        <f>+'1.mell._Össz_Mérleg2020'!E94</f>
        <v>0</v>
      </c>
      <c r="F26" s="16">
        <f>+'1.mell._Össz_Mérleg2020'!F94</f>
        <v>0</v>
      </c>
      <c r="G26" s="82" t="s">
        <v>178</v>
      </c>
      <c r="H26" s="24">
        <f t="shared" si="3"/>
        <v>0</v>
      </c>
      <c r="I26" s="20">
        <f>+'1.mell._Össz_Mérleg2020'!D200</f>
        <v>0</v>
      </c>
      <c r="J26" s="13">
        <f>+'1.mell._Össz_Mérleg2020'!E200</f>
        <v>0</v>
      </c>
      <c r="K26" s="16">
        <f>+'1.mell._Össz_Mérleg2020'!F200</f>
        <v>0</v>
      </c>
    </row>
    <row r="27" spans="1:11" s="14" customFormat="1">
      <c r="A27" s="102" t="s">
        <v>368</v>
      </c>
      <c r="B27" s="82" t="s">
        <v>251</v>
      </c>
      <c r="C27" s="24">
        <f t="shared" si="2"/>
        <v>0</v>
      </c>
      <c r="D27" s="20">
        <f>+'1.mell._Össz_Mérleg2020'!D95</f>
        <v>0</v>
      </c>
      <c r="E27" s="13">
        <f>+'1.mell._Össz_Mérleg2020'!E95</f>
        <v>0</v>
      </c>
      <c r="F27" s="16">
        <f>+'1.mell._Össz_Mérleg2020'!F95</f>
        <v>0</v>
      </c>
      <c r="G27" s="82" t="s">
        <v>174</v>
      </c>
      <c r="H27" s="24">
        <f t="shared" si="3"/>
        <v>0</v>
      </c>
      <c r="I27" s="20">
        <f>+'1.mell._Össz_Mérleg2020'!D201</f>
        <v>0</v>
      </c>
      <c r="J27" s="13">
        <f>+'1.mell._Össz_Mérleg2020'!E201</f>
        <v>0</v>
      </c>
      <c r="K27" s="16">
        <f>+'1.mell._Össz_Mérleg2020'!F201</f>
        <v>0</v>
      </c>
    </row>
    <row r="28" spans="1:11">
      <c r="A28" s="102" t="s">
        <v>369</v>
      </c>
      <c r="B28" s="82" t="s">
        <v>244</v>
      </c>
      <c r="C28" s="24">
        <f t="shared" si="2"/>
        <v>0</v>
      </c>
      <c r="D28" s="20">
        <f>+'1.mell._Össz_Mérleg2020'!D96</f>
        <v>0</v>
      </c>
      <c r="E28" s="13">
        <f>+'1.mell._Össz_Mérleg2020'!E96</f>
        <v>0</v>
      </c>
      <c r="F28" s="16">
        <f>+'1.mell._Össz_Mérleg2020'!F96</f>
        <v>0</v>
      </c>
      <c r="G28" s="82" t="s">
        <v>175</v>
      </c>
      <c r="H28" s="24">
        <f t="shared" si="3"/>
        <v>0</v>
      </c>
      <c r="I28" s="20">
        <f>+'1.mell._Össz_Mérleg2020'!D202</f>
        <v>0</v>
      </c>
      <c r="J28" s="13">
        <f>+'1.mell._Össz_Mérleg2020'!E202</f>
        <v>0</v>
      </c>
      <c r="K28" s="16">
        <f>+'1.mell._Össz_Mérleg2020'!F202</f>
        <v>0</v>
      </c>
    </row>
    <row r="29" spans="1:11">
      <c r="A29" s="102" t="s">
        <v>943</v>
      </c>
      <c r="B29" s="82" t="s">
        <v>913</v>
      </c>
      <c r="C29" s="24">
        <f>+D29+E29+F29</f>
        <v>0</v>
      </c>
      <c r="D29" s="20">
        <f>+'1.mell._Össz_Mérleg2020'!D97</f>
        <v>0</v>
      </c>
      <c r="E29" s="13">
        <f>+'1.mell._Össz_Mérleg2020'!E97</f>
        <v>0</v>
      </c>
      <c r="F29" s="16">
        <f>+'1.mell._Össz_Mérleg2020'!F97</f>
        <v>0</v>
      </c>
      <c r="G29" s="82" t="s">
        <v>937</v>
      </c>
      <c r="H29" s="24">
        <f>+I29+J29+K29</f>
        <v>0</v>
      </c>
      <c r="I29" s="20">
        <f>+'1.mell._Össz_Mérleg2020'!D203</f>
        <v>0</v>
      </c>
      <c r="J29" s="13">
        <f>+'1.mell._Össz_Mérleg2020'!E203</f>
        <v>0</v>
      </c>
      <c r="K29" s="16">
        <f>+'1.mell._Össz_Mérleg2020'!F203</f>
        <v>0</v>
      </c>
    </row>
    <row r="30" spans="1:11">
      <c r="A30" s="101" t="s">
        <v>67</v>
      </c>
      <c r="B30" s="83" t="s">
        <v>242</v>
      </c>
      <c r="C30" s="23">
        <f t="shared" si="2"/>
        <v>0</v>
      </c>
      <c r="D30" s="21">
        <f>+'1.mell._Össz_Mérleg2020'!D98</f>
        <v>0</v>
      </c>
      <c r="E30" s="12">
        <f>+'1.mell._Össz_Mérleg2020'!E98</f>
        <v>0</v>
      </c>
      <c r="F30" s="17">
        <f>+'1.mell._Össz_Mérleg2020'!F98</f>
        <v>0</v>
      </c>
      <c r="G30" s="83" t="s">
        <v>176</v>
      </c>
      <c r="H30" s="23">
        <f t="shared" si="3"/>
        <v>0</v>
      </c>
      <c r="I30" s="21">
        <f>+'1.mell._Össz_Mérleg2020'!D204</f>
        <v>0</v>
      </c>
      <c r="J30" s="12">
        <f>+'1.mell._Össz_Mérleg2020'!E204</f>
        <v>0</v>
      </c>
      <c r="K30" s="17">
        <f>+'1.mell._Össz_Mérleg2020'!F204</f>
        <v>0</v>
      </c>
    </row>
    <row r="31" spans="1:11" s="3" customFormat="1">
      <c r="A31" s="94" t="s">
        <v>68</v>
      </c>
      <c r="B31" s="84" t="s">
        <v>243</v>
      </c>
      <c r="C31" s="26">
        <f t="shared" si="2"/>
        <v>0</v>
      </c>
      <c r="D31" s="27">
        <f>+'1.mell._Össz_Mérleg2020'!D99</f>
        <v>0</v>
      </c>
      <c r="E31" s="28">
        <f>+'1.mell._Össz_Mérleg2020'!E99</f>
        <v>0</v>
      </c>
      <c r="F31" s="29">
        <f>+'1.mell._Össz_Mérleg2020'!F99</f>
        <v>0</v>
      </c>
      <c r="G31" s="84" t="s">
        <v>177</v>
      </c>
      <c r="H31" s="26">
        <f t="shared" si="3"/>
        <v>0</v>
      </c>
      <c r="I31" s="27">
        <f>+'1.mell._Össz_Mérleg2020'!D205</f>
        <v>0</v>
      </c>
      <c r="J31" s="28">
        <f>+'1.mell._Össz_Mérleg2020'!E205</f>
        <v>0</v>
      </c>
      <c r="K31" s="29">
        <f>+'1.mell._Össz_Mérleg2020'!F205</f>
        <v>0</v>
      </c>
    </row>
    <row r="32" spans="1:11" s="3" customFormat="1" ht="12.75" thickBot="1">
      <c r="A32" s="94" t="s">
        <v>229</v>
      </c>
      <c r="B32" s="84" t="s">
        <v>915</v>
      </c>
      <c r="C32" s="26">
        <f>+D32+E32+F32</f>
        <v>0</v>
      </c>
      <c r="D32" s="27">
        <f>+'1.mell._Össz_Mérleg2020'!D100</f>
        <v>0</v>
      </c>
      <c r="E32" s="28">
        <f>+'1.mell._Össz_Mérleg2020'!E100</f>
        <v>0</v>
      </c>
      <c r="F32" s="29">
        <f>+'1.mell._Össz_Mérleg2020'!F100</f>
        <v>0</v>
      </c>
      <c r="G32" s="84" t="s">
        <v>938</v>
      </c>
      <c r="H32" s="26">
        <f>+I32+J32+K32</f>
        <v>0</v>
      </c>
      <c r="I32" s="27">
        <f>+'1.mell._Össz_Mérleg2020'!D206</f>
        <v>0</v>
      </c>
      <c r="J32" s="28">
        <f>+'1.mell._Össz_Mérleg2020'!E206</f>
        <v>0</v>
      </c>
      <c r="K32" s="29">
        <f>+'1.mell._Össz_Mérleg2020'!F206</f>
        <v>0</v>
      </c>
    </row>
    <row r="33" spans="1:11" s="3" customFormat="1" ht="12.75" thickBot="1">
      <c r="A33" s="97" t="s">
        <v>12</v>
      </c>
      <c r="B33" s="161" t="s">
        <v>392</v>
      </c>
      <c r="C33" s="43">
        <f>+C8+C18</f>
        <v>83726</v>
      </c>
      <c r="D33" s="160">
        <f>+D8+D18</f>
        <v>82626</v>
      </c>
      <c r="E33" s="159">
        <f>+E8+E18</f>
        <v>1100</v>
      </c>
      <c r="F33" s="158">
        <f>+F8+F18</f>
        <v>0</v>
      </c>
      <c r="G33" s="145" t="s">
        <v>396</v>
      </c>
      <c r="H33" s="44">
        <f>+H8+H18</f>
        <v>503980</v>
      </c>
      <c r="I33" s="33">
        <f>+I8+I18</f>
        <v>157730</v>
      </c>
      <c r="J33" s="34">
        <f>+J8+J18</f>
        <v>346250</v>
      </c>
      <c r="K33" s="35">
        <f>+K8+K18</f>
        <v>0</v>
      </c>
    </row>
    <row r="34" spans="1:11" s="3" customFormat="1" ht="12.75" thickBot="1">
      <c r="A34" s="99" t="s">
        <v>11</v>
      </c>
      <c r="B34" s="85" t="s">
        <v>406</v>
      </c>
      <c r="C34" s="168">
        <f>IF(((H8-C8)&gt;0),H8-C8,"----")</f>
        <v>430254</v>
      </c>
      <c r="D34" s="167">
        <f>IF(((I8-D8)&gt;0),I8-D8,"----")</f>
        <v>85104</v>
      </c>
      <c r="E34" s="166">
        <f>IF(((J8-E8)&gt;0),J8-E8,"----")</f>
        <v>345150</v>
      </c>
      <c r="F34" s="165" t="str">
        <f>IF(((K8-F8)&gt;0),K8-F8,"----")</f>
        <v>----</v>
      </c>
      <c r="G34" s="85" t="s">
        <v>395</v>
      </c>
      <c r="H34" s="168" t="str">
        <f>IF(((C8-H8)&gt;0),C8-H8,"----")</f>
        <v>----</v>
      </c>
      <c r="I34" s="167" t="str">
        <f>IF(((D8-I8)&gt;0),D8-I8,"----")</f>
        <v>----</v>
      </c>
      <c r="J34" s="166" t="str">
        <f>IF(((E8-J8)&gt;0),E8-J8,"----")</f>
        <v>----</v>
      </c>
      <c r="K34" s="165" t="str">
        <f>IF(((F8-K8)&gt;0),F8-K8,"----")</f>
        <v>----</v>
      </c>
    </row>
    <row r="35" spans="1:11" s="3" customFormat="1" ht="12.75" thickBot="1">
      <c r="A35" s="99" t="s">
        <v>10</v>
      </c>
      <c r="B35" s="85" t="s">
        <v>393</v>
      </c>
      <c r="C35" s="168" t="str">
        <f>IF(((H18-C18)&gt;0),H18-C18,"----")</f>
        <v>----</v>
      </c>
      <c r="D35" s="167" t="str">
        <f>IF(((I18-D18)&gt;0),I18-D18,"----")</f>
        <v>----</v>
      </c>
      <c r="E35" s="166" t="str">
        <f>IF(((J18-E18)&gt;0),J18-E18,"----")</f>
        <v>----</v>
      </c>
      <c r="F35" s="165" t="str">
        <f>IF(((K18-F18)&gt;0),K18-F18,"----")</f>
        <v>----</v>
      </c>
      <c r="G35" s="85" t="s">
        <v>394</v>
      </c>
      <c r="H35" s="168">
        <f>IF(((C18-H18)&gt;0),C18-H18,"----")</f>
        <v>10000</v>
      </c>
      <c r="I35" s="167">
        <f>IF(((D18-I18)&gt;0),D18-I18,"----")</f>
        <v>10000</v>
      </c>
      <c r="J35" s="166" t="str">
        <f>IF(((E18-J18)&gt;0),E18-J18,"----")</f>
        <v>----</v>
      </c>
      <c r="K35" s="165" t="str">
        <f>IF(((F18-K18)&gt;0),F18-K18,"----")</f>
        <v>----</v>
      </c>
    </row>
    <row r="37" spans="1:11" hidden="1">
      <c r="C37" s="4">
        <f>+C33+'2.a.mell._MMérleg2020'!C33</f>
        <v>4553174</v>
      </c>
      <c r="D37" s="4">
        <f>+D33+'2.a.mell._MMérleg2020'!D33</f>
        <v>4499130</v>
      </c>
      <c r="E37" s="4">
        <f>+E33+'2.a.mell._MMérleg2020'!E33</f>
        <v>54044</v>
      </c>
      <c r="F37" s="4">
        <f>+F33+'2.a.mell._MMérleg2020'!F33</f>
        <v>0</v>
      </c>
      <c r="H37" s="4">
        <f>+H33+'2.a.mell._MMérleg2020'!H33</f>
        <v>4553174</v>
      </c>
      <c r="I37" s="4">
        <f>+I33+'2.a.mell._MMérleg2020'!I33</f>
        <v>4140459</v>
      </c>
      <c r="J37" s="4">
        <f>+J33+'2.a.mell._MMérleg2020'!J33</f>
        <v>412715</v>
      </c>
      <c r="K37" s="4">
        <f>+K33+'2.a.mell._MMérleg2020'!K33</f>
        <v>0</v>
      </c>
    </row>
    <row r="38" spans="1:11" hidden="1">
      <c r="C38" s="4">
        <f>+'1.mell._Össz_Mérleg2020'!C102</f>
        <v>4553174</v>
      </c>
      <c r="D38" s="4">
        <f>+'1.mell._Össz_Mérleg2020'!D102</f>
        <v>4499130</v>
      </c>
      <c r="E38" s="4">
        <f>+'1.mell._Össz_Mérleg2020'!E102</f>
        <v>54044</v>
      </c>
      <c r="F38" s="4">
        <f>+'1.mell._Össz_Mérleg2020'!F102</f>
        <v>0</v>
      </c>
      <c r="H38" s="4">
        <f>+'1.mell._Össz_Mérleg2020'!C208</f>
        <v>4553174</v>
      </c>
      <c r="I38" s="4">
        <f>+'1.mell._Össz_Mérleg2020'!D208</f>
        <v>4140459</v>
      </c>
      <c r="J38" s="4">
        <f>+'1.mell._Össz_Mérleg2020'!E208</f>
        <v>412715</v>
      </c>
      <c r="K38" s="4">
        <f>+'1.mell._Össz_Mérleg2020'!F208</f>
        <v>0</v>
      </c>
    </row>
    <row r="39" spans="1:11" hidden="1">
      <c r="C39" s="4">
        <f>+C37-C38</f>
        <v>0</v>
      </c>
      <c r="D39" s="4">
        <f>+D37-D38</f>
        <v>0</v>
      </c>
      <c r="E39" s="4">
        <f>+E37-E38</f>
        <v>0</v>
      </c>
      <c r="F39" s="4">
        <f>+F37-F38</f>
        <v>0</v>
      </c>
      <c r="H39" s="4">
        <f>+H37-H38</f>
        <v>0</v>
      </c>
      <c r="I39" s="4">
        <f>+I37-I38</f>
        <v>0</v>
      </c>
      <c r="J39" s="4">
        <f>+J37-J38</f>
        <v>0</v>
      </c>
      <c r="K39" s="4">
        <f>+K37-K38</f>
        <v>0</v>
      </c>
    </row>
  </sheetData>
  <mergeCells count="4">
    <mergeCell ref="A3:K3"/>
    <mergeCell ref="A4:K4"/>
    <mergeCell ref="C7:F7"/>
    <mergeCell ref="H7:K7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6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Munka15">
    <tabColor rgb="FF00B0F0"/>
    <pageSetUpPr fitToPage="1"/>
  </sheetPr>
  <dimension ref="A1:J79"/>
  <sheetViews>
    <sheetView zoomScaleNormal="100" workbookViewId="0"/>
  </sheetViews>
  <sheetFormatPr defaultColWidth="9.140625" defaultRowHeight="12"/>
  <cols>
    <col min="1" max="1" width="78.5703125" style="209" bestFit="1" customWidth="1"/>
    <col min="2" max="2" width="11.7109375" style="209" customWidth="1"/>
    <col min="3" max="3" width="11.140625" style="209" bestFit="1" customWidth="1"/>
    <col min="4" max="5" width="13.140625" style="209" customWidth="1"/>
    <col min="6" max="7" width="9.140625" style="209"/>
    <col min="8" max="8" width="0" style="209" hidden="1" customWidth="1"/>
    <col min="9" max="9" width="0" style="685" hidden="1" customWidth="1"/>
    <col min="10" max="10" width="0" style="209" hidden="1" customWidth="1"/>
    <col min="11" max="16384" width="9.140625" style="209"/>
  </cols>
  <sheetData>
    <row r="1" spans="1:10" s="210" customFormat="1" ht="15.75">
      <c r="A1" s="169"/>
      <c r="B1" s="169"/>
      <c r="C1" s="169"/>
      <c r="D1" s="169"/>
      <c r="E1" s="169"/>
      <c r="F1" s="170" t="s">
        <v>424</v>
      </c>
      <c r="I1" s="686"/>
    </row>
    <row r="2" spans="1:10" s="210" customFormat="1" ht="15.75">
      <c r="I2" s="686"/>
    </row>
    <row r="3" spans="1:10" s="211" customFormat="1" ht="15.75">
      <c r="A3" s="1235" t="s">
        <v>330</v>
      </c>
      <c r="B3" s="1235"/>
      <c r="C3" s="1235"/>
      <c r="D3" s="1235"/>
      <c r="E3" s="1235"/>
      <c r="F3" s="1235"/>
      <c r="I3" s="687"/>
    </row>
    <row r="4" spans="1:10" s="211" customFormat="1" ht="15.75">
      <c r="A4" s="1235" t="s">
        <v>1447</v>
      </c>
      <c r="B4" s="1235"/>
      <c r="C4" s="1235"/>
      <c r="D4" s="1235"/>
      <c r="E4" s="1235"/>
      <c r="F4" s="1235"/>
      <c r="I4" s="687"/>
    </row>
    <row r="5" spans="1:10" ht="12.75" thickBot="1">
      <c r="A5" s="171"/>
      <c r="B5" s="171"/>
      <c r="C5" s="171"/>
      <c r="D5" s="171"/>
      <c r="E5" s="171"/>
      <c r="F5" s="171"/>
    </row>
    <row r="6" spans="1:10" s="212" customFormat="1" ht="12.75" customHeight="1" thickBot="1">
      <c r="A6" s="1227" t="s">
        <v>7</v>
      </c>
      <c r="B6" s="1230" t="s">
        <v>1448</v>
      </c>
      <c r="C6" s="1232" t="s">
        <v>1448</v>
      </c>
      <c r="D6" s="1233"/>
      <c r="E6" s="1233"/>
      <c r="F6" s="1234"/>
      <c r="I6" s="688"/>
    </row>
    <row r="7" spans="1:10" s="212" customFormat="1" ht="48.75" thickBot="1">
      <c r="A7" s="1228"/>
      <c r="B7" s="1231"/>
      <c r="C7" s="213" t="s">
        <v>407</v>
      </c>
      <c r="D7" s="214" t="s">
        <v>408</v>
      </c>
      <c r="E7" s="215" t="s">
        <v>409</v>
      </c>
      <c r="F7" s="216" t="s">
        <v>18</v>
      </c>
      <c r="I7" s="688"/>
    </row>
    <row r="8" spans="1:10">
      <c r="A8" s="172"/>
      <c r="B8" s="173"/>
      <c r="C8" s="173"/>
      <c r="D8" s="174"/>
      <c r="E8" s="175"/>
      <c r="F8" s="176"/>
    </row>
    <row r="9" spans="1:10">
      <c r="A9" s="177" t="s">
        <v>410</v>
      </c>
      <c r="B9" s="178">
        <f>+B10</f>
        <v>1</v>
      </c>
      <c r="C9" s="178">
        <f>+C10</f>
        <v>1</v>
      </c>
      <c r="D9" s="179">
        <f>+D10</f>
        <v>0</v>
      </c>
      <c r="E9" s="179">
        <f>+E10</f>
        <v>0</v>
      </c>
      <c r="F9" s="180">
        <f>+F10</f>
        <v>1</v>
      </c>
      <c r="H9" s="684">
        <f t="shared" ref="H9:H15" si="0">+F9-B9</f>
        <v>0</v>
      </c>
    </row>
    <row r="10" spans="1:10">
      <c r="A10" s="913" t="s">
        <v>1217</v>
      </c>
      <c r="B10" s="183">
        <v>1</v>
      </c>
      <c r="C10" s="183">
        <f>+B10</f>
        <v>1</v>
      </c>
      <c r="D10" s="184"/>
      <c r="E10" s="184"/>
      <c r="F10" s="180">
        <f>+E10+D10+C10</f>
        <v>1</v>
      </c>
      <c r="H10" s="684">
        <f t="shared" si="0"/>
        <v>0</v>
      </c>
    </row>
    <row r="11" spans="1:10">
      <c r="A11" s="177" t="s">
        <v>411</v>
      </c>
      <c r="B11" s="178">
        <f>+B12</f>
        <v>0</v>
      </c>
      <c r="C11" s="178">
        <f>+C12</f>
        <v>0</v>
      </c>
      <c r="D11" s="179">
        <f>+D12</f>
        <v>0</v>
      </c>
      <c r="E11" s="179">
        <f>+E12</f>
        <v>0</v>
      </c>
      <c r="F11" s="180">
        <f>+F12</f>
        <v>0</v>
      </c>
      <c r="H11" s="684">
        <f t="shared" si="0"/>
        <v>0</v>
      </c>
    </row>
    <row r="12" spans="1:10">
      <c r="A12" s="968" t="s">
        <v>19</v>
      </c>
      <c r="B12" s="183"/>
      <c r="C12" s="183"/>
      <c r="D12" s="184"/>
      <c r="E12" s="184"/>
      <c r="F12" s="180">
        <f>+E12+D12+C12</f>
        <v>0</v>
      </c>
      <c r="H12" s="684">
        <f t="shared" si="0"/>
        <v>0</v>
      </c>
    </row>
    <row r="13" spans="1:10">
      <c r="A13" s="177" t="s">
        <v>412</v>
      </c>
      <c r="B13" s="178">
        <f>+B14</f>
        <v>0</v>
      </c>
      <c r="C13" s="178">
        <f>+C14</f>
        <v>0</v>
      </c>
      <c r="D13" s="179">
        <f>+D14</f>
        <v>0</v>
      </c>
      <c r="E13" s="179">
        <f>+E14</f>
        <v>0</v>
      </c>
      <c r="F13" s="180">
        <f>+F14</f>
        <v>0</v>
      </c>
      <c r="H13" s="684">
        <f t="shared" si="0"/>
        <v>0</v>
      </c>
    </row>
    <row r="14" spans="1:10" ht="12.75" thickBot="1">
      <c r="A14" s="969" t="s">
        <v>19</v>
      </c>
      <c r="B14" s="185"/>
      <c r="C14" s="185"/>
      <c r="D14" s="186"/>
      <c r="E14" s="186"/>
      <c r="F14" s="180">
        <f>+E14+D14+C14</f>
        <v>0</v>
      </c>
      <c r="H14" s="684">
        <f t="shared" si="0"/>
        <v>0</v>
      </c>
    </row>
    <row r="15" spans="1:10" ht="12.75" thickBot="1">
      <c r="A15" s="187" t="s">
        <v>413</v>
      </c>
      <c r="B15" s="188">
        <f>+B9+B11+B13</f>
        <v>1</v>
      </c>
      <c r="C15" s="188">
        <f>+C9+C11+C13</f>
        <v>1</v>
      </c>
      <c r="D15" s="191">
        <f>+D9+D11+D13</f>
        <v>0</v>
      </c>
      <c r="E15" s="190">
        <f>+E9+E11+E13</f>
        <v>0</v>
      </c>
      <c r="F15" s="192">
        <f>+F9+F11+F13</f>
        <v>1</v>
      </c>
      <c r="H15" s="684">
        <f t="shared" si="0"/>
        <v>0</v>
      </c>
      <c r="I15" s="685">
        <f>+'1.1.mell._ÖNK_Mérleg2020'!C239</f>
        <v>1</v>
      </c>
      <c r="J15" s="684">
        <f>+B15-I15</f>
        <v>0</v>
      </c>
    </row>
    <row r="16" spans="1:10">
      <c r="A16" s="193"/>
      <c r="B16" s="194"/>
      <c r="C16" s="194"/>
      <c r="D16" s="195"/>
      <c r="E16" s="195"/>
      <c r="F16" s="196"/>
      <c r="H16" s="684"/>
    </row>
    <row r="17" spans="1:10">
      <c r="A17" s="177" t="s">
        <v>869</v>
      </c>
      <c r="B17" s="178">
        <f>+B18+B19+B20</f>
        <v>86</v>
      </c>
      <c r="C17" s="178">
        <f>+C18+C19+C20</f>
        <v>43</v>
      </c>
      <c r="D17" s="179">
        <f>+D18+D19+D20</f>
        <v>0</v>
      </c>
      <c r="E17" s="179">
        <f>+E18+E19+E20</f>
        <v>43</v>
      </c>
      <c r="F17" s="180">
        <f>+F18+F19+F20</f>
        <v>86</v>
      </c>
      <c r="H17" s="684">
        <f t="shared" ref="H17:H26" si="1">+F17-B17</f>
        <v>0</v>
      </c>
    </row>
    <row r="18" spans="1:10">
      <c r="A18" s="913" t="s">
        <v>665</v>
      </c>
      <c r="B18" s="183">
        <v>43</v>
      </c>
      <c r="C18" s="930">
        <f>+B18</f>
        <v>43</v>
      </c>
      <c r="D18" s="184"/>
      <c r="E18" s="184"/>
      <c r="F18" s="180">
        <f>+E18+D18+C18</f>
        <v>43</v>
      </c>
      <c r="H18" s="684">
        <f t="shared" si="1"/>
        <v>0</v>
      </c>
    </row>
    <row r="19" spans="1:10">
      <c r="A19" s="913" t="s">
        <v>415</v>
      </c>
      <c r="B19" s="183">
        <v>19</v>
      </c>
      <c r="C19" s="183"/>
      <c r="D19" s="184"/>
      <c r="E19" s="184">
        <f>+B19</f>
        <v>19</v>
      </c>
      <c r="F19" s="180">
        <f>+E19+D19+C19</f>
        <v>19</v>
      </c>
      <c r="H19" s="684">
        <f t="shared" si="1"/>
        <v>0</v>
      </c>
    </row>
    <row r="20" spans="1:10">
      <c r="A20" s="913" t="s">
        <v>1040</v>
      </c>
      <c r="B20" s="183">
        <v>24</v>
      </c>
      <c r="C20" s="183"/>
      <c r="D20" s="184"/>
      <c r="E20" s="184">
        <f>+B20</f>
        <v>24</v>
      </c>
      <c r="F20" s="180">
        <f>+E20+D20+C20</f>
        <v>24</v>
      </c>
      <c r="H20" s="684">
        <f t="shared" si="1"/>
        <v>0</v>
      </c>
    </row>
    <row r="21" spans="1:10">
      <c r="A21" s="177" t="s">
        <v>870</v>
      </c>
      <c r="B21" s="178">
        <f>+B22+B23</f>
        <v>6</v>
      </c>
      <c r="C21" s="178">
        <f>+C22+C23</f>
        <v>2</v>
      </c>
      <c r="D21" s="179">
        <f>+D22+D23</f>
        <v>0</v>
      </c>
      <c r="E21" s="179">
        <f>+E22+E23</f>
        <v>4</v>
      </c>
      <c r="F21" s="180">
        <f>+F22+F23</f>
        <v>6</v>
      </c>
      <c r="H21" s="684">
        <f t="shared" si="1"/>
        <v>0</v>
      </c>
    </row>
    <row r="22" spans="1:10">
      <c r="A22" s="913" t="s">
        <v>416</v>
      </c>
      <c r="B22" s="183">
        <v>4</v>
      </c>
      <c r="C22" s="183"/>
      <c r="D22" s="184"/>
      <c r="E22" s="184">
        <f>+B22</f>
        <v>4</v>
      </c>
      <c r="F22" s="180">
        <f>+E22+D22+C22</f>
        <v>4</v>
      </c>
      <c r="H22" s="684">
        <f t="shared" si="1"/>
        <v>0</v>
      </c>
    </row>
    <row r="23" spans="1:10">
      <c r="A23" s="913" t="s">
        <v>647</v>
      </c>
      <c r="B23" s="183">
        <v>2</v>
      </c>
      <c r="C23" s="183">
        <f>+B23</f>
        <v>2</v>
      </c>
      <c r="D23" s="184"/>
      <c r="E23" s="184"/>
      <c r="F23" s="180">
        <f>+E23+D23+C23</f>
        <v>2</v>
      </c>
      <c r="H23" s="684">
        <f t="shared" si="1"/>
        <v>0</v>
      </c>
    </row>
    <row r="24" spans="1:10">
      <c r="A24" s="177" t="s">
        <v>871</v>
      </c>
      <c r="B24" s="178">
        <f>+B25</f>
        <v>0</v>
      </c>
      <c r="C24" s="178">
        <f>+C25</f>
        <v>0</v>
      </c>
      <c r="D24" s="179">
        <f>+D25</f>
        <v>0</v>
      </c>
      <c r="E24" s="179">
        <f>+E25</f>
        <v>0</v>
      </c>
      <c r="F24" s="180">
        <f>+F25</f>
        <v>0</v>
      </c>
      <c r="H24" s="684">
        <f t="shared" si="1"/>
        <v>0</v>
      </c>
    </row>
    <row r="25" spans="1:10" ht="12.75" thickBot="1">
      <c r="A25" s="969" t="s">
        <v>19</v>
      </c>
      <c r="B25" s="185"/>
      <c r="C25" s="185"/>
      <c r="D25" s="186"/>
      <c r="E25" s="186"/>
      <c r="F25" s="180">
        <f>+E25+D25+C25</f>
        <v>0</v>
      </c>
      <c r="H25" s="684">
        <f t="shared" si="1"/>
        <v>0</v>
      </c>
    </row>
    <row r="26" spans="1:10" ht="12.75" thickBot="1">
      <c r="A26" s="187" t="s">
        <v>872</v>
      </c>
      <c r="B26" s="188">
        <f>+B17+B21+B24</f>
        <v>92</v>
      </c>
      <c r="C26" s="188">
        <f>+C17+C21+C24</f>
        <v>45</v>
      </c>
      <c r="D26" s="191">
        <f>+D17+D21+D24</f>
        <v>0</v>
      </c>
      <c r="E26" s="190">
        <f>+E17+E21+E24</f>
        <v>47</v>
      </c>
      <c r="F26" s="192">
        <f>+F17+F21+F24</f>
        <v>92</v>
      </c>
      <c r="H26" s="684">
        <f t="shared" si="1"/>
        <v>0</v>
      </c>
      <c r="I26" s="685">
        <f>+'1.2.mell._HKÖH_Mérleg2020'!C239</f>
        <v>92</v>
      </c>
      <c r="J26" s="684">
        <f>+B26-I26</f>
        <v>0</v>
      </c>
    </row>
    <row r="27" spans="1:10">
      <c r="A27" s="193"/>
      <c r="B27" s="194"/>
      <c r="C27" s="194"/>
      <c r="D27" s="195"/>
      <c r="E27" s="195"/>
      <c r="F27" s="196"/>
      <c r="H27" s="684"/>
    </row>
    <row r="28" spans="1:10">
      <c r="A28" s="197" t="s">
        <v>417</v>
      </c>
      <c r="B28" s="178">
        <f>+B29+B30</f>
        <v>69</v>
      </c>
      <c r="C28" s="178">
        <f>+C29+C30</f>
        <v>0</v>
      </c>
      <c r="D28" s="179">
        <f>+D29+D30</f>
        <v>69</v>
      </c>
      <c r="E28" s="179">
        <f>+E29+E30</f>
        <v>0</v>
      </c>
      <c r="F28" s="180">
        <f>+F29+F30</f>
        <v>69</v>
      </c>
      <c r="H28" s="684">
        <f t="shared" ref="H28:H35" si="2">+F28-B28</f>
        <v>0</v>
      </c>
    </row>
    <row r="29" spans="1:10">
      <c r="A29" s="968" t="s">
        <v>1078</v>
      </c>
      <c r="B29" s="183">
        <v>59</v>
      </c>
      <c r="C29" s="183"/>
      <c r="D29" s="184">
        <f>+B29</f>
        <v>59</v>
      </c>
      <c r="E29" s="184"/>
      <c r="F29" s="180">
        <f>+E29+D29+C29</f>
        <v>59</v>
      </c>
      <c r="H29" s="684">
        <f t="shared" si="2"/>
        <v>0</v>
      </c>
    </row>
    <row r="30" spans="1:10">
      <c r="A30" s="968" t="s">
        <v>573</v>
      </c>
      <c r="B30" s="183">
        <v>10</v>
      </c>
      <c r="C30" s="183"/>
      <c r="D30" s="184">
        <f>+B30</f>
        <v>10</v>
      </c>
      <c r="E30" s="184"/>
      <c r="F30" s="180">
        <f>+E30+D30+C30</f>
        <v>10</v>
      </c>
      <c r="H30" s="684">
        <f t="shared" si="2"/>
        <v>0</v>
      </c>
    </row>
    <row r="31" spans="1:10">
      <c r="A31" s="197" t="s">
        <v>418</v>
      </c>
      <c r="B31" s="178">
        <f>+B32</f>
        <v>0</v>
      </c>
      <c r="C31" s="178">
        <f>+C32</f>
        <v>0</v>
      </c>
      <c r="D31" s="179">
        <f>+D32</f>
        <v>0</v>
      </c>
      <c r="E31" s="179">
        <f>+E32</f>
        <v>0</v>
      </c>
      <c r="F31" s="180">
        <f>+F32</f>
        <v>0</v>
      </c>
      <c r="H31" s="684">
        <f t="shared" si="2"/>
        <v>0</v>
      </c>
    </row>
    <row r="32" spans="1:10">
      <c r="A32" s="968" t="s">
        <v>19</v>
      </c>
      <c r="B32" s="183"/>
      <c r="C32" s="183"/>
      <c r="D32" s="184"/>
      <c r="E32" s="184"/>
      <c r="F32" s="180">
        <f>+E32+D32+C32</f>
        <v>0</v>
      </c>
      <c r="H32" s="684">
        <f t="shared" si="2"/>
        <v>0</v>
      </c>
    </row>
    <row r="33" spans="1:10">
      <c r="A33" s="177" t="s">
        <v>766</v>
      </c>
      <c r="B33" s="178">
        <f>+B34</f>
        <v>0</v>
      </c>
      <c r="C33" s="178">
        <f>+C34</f>
        <v>0</v>
      </c>
      <c r="D33" s="179">
        <f>+D34</f>
        <v>0</v>
      </c>
      <c r="E33" s="179">
        <f>+E34</f>
        <v>0</v>
      </c>
      <c r="F33" s="180">
        <f>+F34</f>
        <v>0</v>
      </c>
      <c r="H33" s="684">
        <f t="shared" si="2"/>
        <v>0</v>
      </c>
    </row>
    <row r="34" spans="1:10" ht="12.75" thickBot="1">
      <c r="A34" s="968" t="s">
        <v>19</v>
      </c>
      <c r="B34" s="185"/>
      <c r="C34" s="185"/>
      <c r="D34" s="186"/>
      <c r="E34" s="186"/>
      <c r="F34" s="180">
        <f>+E34+D34+C34</f>
        <v>0</v>
      </c>
      <c r="H34" s="684">
        <f t="shared" si="2"/>
        <v>0</v>
      </c>
    </row>
    <row r="35" spans="1:10" ht="12.75" thickBot="1">
      <c r="A35" s="187" t="s">
        <v>419</v>
      </c>
      <c r="B35" s="188">
        <f>+B28+B31+B33</f>
        <v>69</v>
      </c>
      <c r="C35" s="188">
        <f>+C28+C31+C33</f>
        <v>0</v>
      </c>
      <c r="D35" s="191">
        <f>+D28+D31+D33</f>
        <v>69</v>
      </c>
      <c r="E35" s="190">
        <f>+E28+E31+E33</f>
        <v>0</v>
      </c>
      <c r="F35" s="192">
        <f>+F28+F31+F33</f>
        <v>69</v>
      </c>
      <c r="H35" s="684">
        <f t="shared" si="2"/>
        <v>0</v>
      </c>
      <c r="I35" s="685">
        <f>+'1.3.mell._HVÓBKI_Mérleg2020'!C239</f>
        <v>69</v>
      </c>
      <c r="J35" s="684">
        <f>+B35-I35</f>
        <v>0</v>
      </c>
    </row>
    <row r="36" spans="1:10">
      <c r="A36" s="193"/>
      <c r="B36" s="194"/>
      <c r="C36" s="194"/>
      <c r="D36" s="198"/>
      <c r="E36" s="195"/>
      <c r="F36" s="196"/>
      <c r="H36" s="684"/>
    </row>
    <row r="37" spans="1:10">
      <c r="A37" s="197" t="s">
        <v>420</v>
      </c>
      <c r="B37" s="178">
        <f>+B38+B39+B40</f>
        <v>9</v>
      </c>
      <c r="C37" s="178">
        <f>+C38+C39+C40</f>
        <v>0</v>
      </c>
      <c r="D37" s="179">
        <f>+D38+D39+D40</f>
        <v>9</v>
      </c>
      <c r="E37" s="179">
        <f>+E38+E39+E40</f>
        <v>0</v>
      </c>
      <c r="F37" s="180">
        <f>+F38+F39+F40</f>
        <v>9</v>
      </c>
      <c r="H37" s="684">
        <f t="shared" ref="H37:H45" si="3">+F37-B37</f>
        <v>0</v>
      </c>
    </row>
    <row r="38" spans="1:10">
      <c r="A38" s="968" t="s">
        <v>1089</v>
      </c>
      <c r="B38" s="183">
        <v>4</v>
      </c>
      <c r="C38" s="183"/>
      <c r="D38" s="184">
        <f>+B38</f>
        <v>4</v>
      </c>
      <c r="E38" s="184"/>
      <c r="F38" s="180">
        <f>+E38+D38+C38</f>
        <v>4</v>
      </c>
      <c r="H38" s="684">
        <f t="shared" si="3"/>
        <v>0</v>
      </c>
    </row>
    <row r="39" spans="1:10">
      <c r="A39" s="968" t="s">
        <v>1095</v>
      </c>
      <c r="B39" s="183">
        <v>1</v>
      </c>
      <c r="C39" s="183"/>
      <c r="D39" s="184">
        <f>+B39</f>
        <v>1</v>
      </c>
      <c r="E39" s="184"/>
      <c r="F39" s="180">
        <f>+E39+D39+C39</f>
        <v>1</v>
      </c>
      <c r="H39" s="684">
        <f t="shared" si="3"/>
        <v>0</v>
      </c>
    </row>
    <row r="40" spans="1:10">
      <c r="A40" s="968" t="s">
        <v>1096</v>
      </c>
      <c r="B40" s="183">
        <v>4</v>
      </c>
      <c r="C40" s="183"/>
      <c r="D40" s="184">
        <f>+B40</f>
        <v>4</v>
      </c>
      <c r="E40" s="184"/>
      <c r="F40" s="180">
        <f>+E40+D40+C40</f>
        <v>4</v>
      </c>
      <c r="H40" s="684">
        <f t="shared" si="3"/>
        <v>0</v>
      </c>
    </row>
    <row r="41" spans="1:10">
      <c r="A41" s="197" t="s">
        <v>421</v>
      </c>
      <c r="B41" s="178">
        <f>+B42</f>
        <v>0</v>
      </c>
      <c r="C41" s="178">
        <f>+C42</f>
        <v>0</v>
      </c>
      <c r="D41" s="179">
        <f>+D42</f>
        <v>0</v>
      </c>
      <c r="E41" s="179">
        <f>+E42</f>
        <v>0</v>
      </c>
      <c r="F41" s="180">
        <f>+F42</f>
        <v>0</v>
      </c>
      <c r="H41" s="684">
        <f t="shared" si="3"/>
        <v>0</v>
      </c>
    </row>
    <row r="42" spans="1:10">
      <c r="A42" s="968" t="s">
        <v>19</v>
      </c>
      <c r="B42" s="183"/>
      <c r="C42" s="183"/>
      <c r="D42" s="184"/>
      <c r="E42" s="184"/>
      <c r="F42" s="180">
        <f>+E42+D42+C42</f>
        <v>0</v>
      </c>
      <c r="H42" s="684">
        <f t="shared" si="3"/>
        <v>0</v>
      </c>
    </row>
    <row r="43" spans="1:10">
      <c r="A43" s="177" t="s">
        <v>767</v>
      </c>
      <c r="B43" s="178">
        <f>+B44</f>
        <v>0</v>
      </c>
      <c r="C43" s="178">
        <f>+C44</f>
        <v>0</v>
      </c>
      <c r="D43" s="179">
        <f>+D44</f>
        <v>0</v>
      </c>
      <c r="E43" s="179">
        <f>+E44</f>
        <v>0</v>
      </c>
      <c r="F43" s="180">
        <f>+F44</f>
        <v>0</v>
      </c>
      <c r="H43" s="684">
        <f t="shared" si="3"/>
        <v>0</v>
      </c>
    </row>
    <row r="44" spans="1:10" ht="12.75" thickBot="1">
      <c r="A44" s="968" t="s">
        <v>19</v>
      </c>
      <c r="B44" s="185"/>
      <c r="C44" s="185"/>
      <c r="D44" s="186"/>
      <c r="E44" s="186"/>
      <c r="F44" s="180">
        <f>+E44+D44+C44</f>
        <v>0</v>
      </c>
      <c r="H44" s="684">
        <f t="shared" si="3"/>
        <v>0</v>
      </c>
    </row>
    <row r="45" spans="1:10" ht="12.75" thickBot="1">
      <c r="A45" s="199" t="s">
        <v>422</v>
      </c>
      <c r="B45" s="188">
        <f>+B37+B41+B43</f>
        <v>9</v>
      </c>
      <c r="C45" s="188">
        <f>+C37+C41+C43</f>
        <v>0</v>
      </c>
      <c r="D45" s="191">
        <f>+D37+D41+D43</f>
        <v>9</v>
      </c>
      <c r="E45" s="190">
        <f>+E37+E41+E43</f>
        <v>0</v>
      </c>
      <c r="F45" s="192">
        <f>+F37+F41+F43</f>
        <v>9</v>
      </c>
      <c r="H45" s="684">
        <f t="shared" si="3"/>
        <v>0</v>
      </c>
      <c r="I45" s="685">
        <f>+'1.4.mell._HKK_Mérleg2020'!C239</f>
        <v>9</v>
      </c>
      <c r="J45" s="684">
        <f>+B45-I45</f>
        <v>0</v>
      </c>
    </row>
    <row r="46" spans="1:10" s="506" customFormat="1">
      <c r="A46" s="796"/>
      <c r="B46" s="797"/>
      <c r="C46" s="797"/>
      <c r="D46" s="198"/>
      <c r="E46" s="198"/>
      <c r="F46" s="798"/>
      <c r="H46" s="799"/>
      <c r="I46" s="800"/>
    </row>
    <row r="47" spans="1:10" s="506" customFormat="1">
      <c r="A47" s="801" t="s">
        <v>860</v>
      </c>
      <c r="B47" s="178">
        <f>+B48</f>
        <v>0</v>
      </c>
      <c r="C47" s="178">
        <f>+C48</f>
        <v>0</v>
      </c>
      <c r="D47" s="179">
        <f>+D48</f>
        <v>0</v>
      </c>
      <c r="E47" s="179">
        <f>+E48</f>
        <v>0</v>
      </c>
      <c r="F47" s="180">
        <f>+F48</f>
        <v>0</v>
      </c>
      <c r="H47" s="684">
        <f>+F47-B47</f>
        <v>0</v>
      </c>
      <c r="I47" s="685"/>
      <c r="J47" s="209"/>
    </row>
    <row r="48" spans="1:10">
      <c r="A48" s="968" t="s">
        <v>19</v>
      </c>
      <c r="B48" s="183"/>
      <c r="C48" s="183"/>
      <c r="D48" s="184"/>
      <c r="E48" s="184"/>
      <c r="F48" s="180">
        <f>+E48+D48+C48</f>
        <v>0</v>
      </c>
      <c r="H48" s="684">
        <f>+F48-B48</f>
        <v>0</v>
      </c>
    </row>
    <row r="49" spans="1:10" s="506" customFormat="1">
      <c r="A49" s="801" t="s">
        <v>861</v>
      </c>
      <c r="B49" s="178">
        <f>+B50</f>
        <v>3</v>
      </c>
      <c r="C49" s="178">
        <f>+C50</f>
        <v>0</v>
      </c>
      <c r="D49" s="179">
        <f>+D50</f>
        <v>3</v>
      </c>
      <c r="E49" s="179">
        <f>+E50</f>
        <v>0</v>
      </c>
      <c r="F49" s="180">
        <f>+F50</f>
        <v>3</v>
      </c>
      <c r="H49" s="684">
        <f>+F49-B49</f>
        <v>0</v>
      </c>
      <c r="I49" s="685"/>
      <c r="J49" s="209"/>
    </row>
    <row r="50" spans="1:10">
      <c r="A50" s="968" t="s">
        <v>1075</v>
      </c>
      <c r="B50" s="183">
        <v>3</v>
      </c>
      <c r="C50" s="183"/>
      <c r="D50" s="184">
        <f>+B50</f>
        <v>3</v>
      </c>
      <c r="E50" s="184"/>
      <c r="F50" s="180">
        <f>+E50+D50+C50</f>
        <v>3</v>
      </c>
      <c r="H50" s="684">
        <f>+F50-B50</f>
        <v>0</v>
      </c>
    </row>
    <row r="51" spans="1:10" s="506" customFormat="1">
      <c r="A51" s="177" t="s">
        <v>888</v>
      </c>
      <c r="B51" s="178">
        <f>+B52</f>
        <v>0</v>
      </c>
      <c r="C51" s="178">
        <f>+C52</f>
        <v>0</v>
      </c>
      <c r="D51" s="179">
        <f>+D52</f>
        <v>0</v>
      </c>
      <c r="E51" s="179">
        <f>+E52</f>
        <v>0</v>
      </c>
      <c r="F51" s="180">
        <f>+F52</f>
        <v>0</v>
      </c>
      <c r="H51" s="684"/>
      <c r="I51" s="685"/>
      <c r="J51" s="209"/>
    </row>
    <row r="52" spans="1:10" ht="12.75" thickBot="1">
      <c r="A52" s="968" t="s">
        <v>19</v>
      </c>
      <c r="B52" s="185"/>
      <c r="C52" s="185"/>
      <c r="D52" s="186"/>
      <c r="E52" s="186"/>
      <c r="F52" s="180">
        <f>+E52+D52+C52</f>
        <v>0</v>
      </c>
      <c r="H52" s="684">
        <f>+F52-B52</f>
        <v>0</v>
      </c>
    </row>
    <row r="53" spans="1:10" s="506" customFormat="1" ht="12.75" thickBot="1">
      <c r="A53" s="199" t="s">
        <v>862</v>
      </c>
      <c r="B53" s="188">
        <f>+B47+B49+B51</f>
        <v>3</v>
      </c>
      <c r="C53" s="188">
        <f>+C47+C49+C51</f>
        <v>0</v>
      </c>
      <c r="D53" s="191">
        <f>+D47+D49+D51</f>
        <v>3</v>
      </c>
      <c r="E53" s="190">
        <f>+E47+E49+E51</f>
        <v>0</v>
      </c>
      <c r="F53" s="192">
        <f>+F47+F49+F51</f>
        <v>3</v>
      </c>
      <c r="H53" s="684">
        <f>+F53-B53</f>
        <v>0</v>
      </c>
      <c r="I53" s="685">
        <f>+'1.5._mell._MŐSZ_Mérleg2020'!C239</f>
        <v>3</v>
      </c>
      <c r="J53" s="684">
        <f>+B53-I53</f>
        <v>0</v>
      </c>
    </row>
    <row r="54" spans="1:10">
      <c r="A54" s="193"/>
      <c r="B54" s="194"/>
      <c r="C54" s="194"/>
      <c r="D54" s="195"/>
      <c r="E54" s="195"/>
      <c r="F54" s="196"/>
      <c r="H54" s="684"/>
    </row>
    <row r="55" spans="1:10">
      <c r="A55" s="197" t="s">
        <v>1098</v>
      </c>
      <c r="B55" s="178">
        <f>+B56+B57</f>
        <v>22</v>
      </c>
      <c r="C55" s="178">
        <f>+C56+C57</f>
        <v>0</v>
      </c>
      <c r="D55" s="179">
        <f>+D56+D57</f>
        <v>22</v>
      </c>
      <c r="E55" s="179">
        <f>+E56+E57</f>
        <v>0</v>
      </c>
      <c r="F55" s="180">
        <f>+F56+F57</f>
        <v>22</v>
      </c>
      <c r="H55" s="684">
        <f t="shared" ref="H55:H62" si="4">+F55-B55</f>
        <v>0</v>
      </c>
    </row>
    <row r="56" spans="1:10">
      <c r="A56" s="968" t="s">
        <v>1025</v>
      </c>
      <c r="B56" s="183">
        <v>8</v>
      </c>
      <c r="C56" s="183"/>
      <c r="D56" s="184">
        <f>+B56</f>
        <v>8</v>
      </c>
      <c r="E56" s="184"/>
      <c r="F56" s="180">
        <f>+E56+D56+C56</f>
        <v>8</v>
      </c>
      <c r="H56" s="684">
        <f t="shared" si="4"/>
        <v>0</v>
      </c>
    </row>
    <row r="57" spans="1:10">
      <c r="A57" s="968" t="s">
        <v>1026</v>
      </c>
      <c r="B57" s="183">
        <v>14</v>
      </c>
      <c r="C57" s="183"/>
      <c r="D57" s="184">
        <f>+B57</f>
        <v>14</v>
      </c>
      <c r="E57" s="184"/>
      <c r="F57" s="180">
        <f>+E57+D57+C57</f>
        <v>14</v>
      </c>
      <c r="H57" s="684">
        <f t="shared" si="4"/>
        <v>0</v>
      </c>
    </row>
    <row r="58" spans="1:10">
      <c r="A58" s="197" t="s">
        <v>1099</v>
      </c>
      <c r="B58" s="178">
        <f>+B59</f>
        <v>0</v>
      </c>
      <c r="C58" s="178">
        <f>+C59</f>
        <v>0</v>
      </c>
      <c r="D58" s="179">
        <f>+D59</f>
        <v>0</v>
      </c>
      <c r="E58" s="179">
        <f>+E59</f>
        <v>0</v>
      </c>
      <c r="F58" s="180">
        <f>+F59</f>
        <v>0</v>
      </c>
      <c r="H58" s="684">
        <f t="shared" si="4"/>
        <v>0</v>
      </c>
    </row>
    <row r="59" spans="1:10">
      <c r="A59" s="968" t="s">
        <v>19</v>
      </c>
      <c r="B59" s="183"/>
      <c r="C59" s="183"/>
      <c r="D59" s="184"/>
      <c r="E59" s="184"/>
      <c r="F59" s="180">
        <f>+E59+D59+C59</f>
        <v>0</v>
      </c>
      <c r="H59" s="684">
        <f t="shared" si="4"/>
        <v>0</v>
      </c>
    </row>
    <row r="60" spans="1:10">
      <c r="A60" s="177" t="s">
        <v>1100</v>
      </c>
      <c r="B60" s="178">
        <f>+B61</f>
        <v>0</v>
      </c>
      <c r="C60" s="178">
        <f>+C61</f>
        <v>0</v>
      </c>
      <c r="D60" s="179">
        <f>+D61</f>
        <v>0</v>
      </c>
      <c r="E60" s="179">
        <f>+E61</f>
        <v>0</v>
      </c>
      <c r="F60" s="180">
        <f>+F61</f>
        <v>0</v>
      </c>
      <c r="H60" s="684">
        <f t="shared" si="4"/>
        <v>0</v>
      </c>
    </row>
    <row r="61" spans="1:10" ht="12.75" thickBot="1">
      <c r="A61" s="968" t="s">
        <v>19</v>
      </c>
      <c r="B61" s="185"/>
      <c r="C61" s="185"/>
      <c r="D61" s="186"/>
      <c r="E61" s="186"/>
      <c r="F61" s="180">
        <f>+E61+D61+C61</f>
        <v>0</v>
      </c>
      <c r="H61" s="684">
        <f t="shared" si="4"/>
        <v>0</v>
      </c>
    </row>
    <row r="62" spans="1:10" ht="12.75" thickBot="1">
      <c r="A62" s="187" t="s">
        <v>1101</v>
      </c>
      <c r="B62" s="188">
        <f>+B55+B58+B60</f>
        <v>22</v>
      </c>
      <c r="C62" s="188">
        <f>+C55+C58+C60</f>
        <v>0</v>
      </c>
      <c r="D62" s="191">
        <f>+D55+D58+D60</f>
        <v>22</v>
      </c>
      <c r="E62" s="190">
        <f>+E55+E58+E60</f>
        <v>0</v>
      </c>
      <c r="F62" s="192">
        <f>+F55+F58+F60</f>
        <v>22</v>
      </c>
      <c r="H62" s="684">
        <f t="shared" si="4"/>
        <v>0</v>
      </c>
      <c r="I62" s="685">
        <f>+'1.6._mell._HVGYKCSSZ_Mérleg2020'!C239</f>
        <v>22</v>
      </c>
      <c r="J62" s="684">
        <f>+B62-I62</f>
        <v>0</v>
      </c>
    </row>
    <row r="63" spans="1:10" ht="12.75" thickBot="1">
      <c r="A63" s="200"/>
      <c r="B63" s="181"/>
      <c r="C63" s="181"/>
      <c r="D63" s="201"/>
      <c r="E63" s="182"/>
      <c r="F63" s="180"/>
      <c r="H63" s="684"/>
    </row>
    <row r="64" spans="1:10" ht="12.75" thickBot="1">
      <c r="A64" s="202" t="s">
        <v>427</v>
      </c>
      <c r="B64" s="188">
        <f>+B15+B26+B35+B53+B45+B62</f>
        <v>196</v>
      </c>
      <c r="C64" s="188">
        <f>+C15+C26+C35+C53+C45+C62</f>
        <v>46</v>
      </c>
      <c r="D64" s="191">
        <f>+D15+D26+D35+D53+D45+D62</f>
        <v>103</v>
      </c>
      <c r="E64" s="189">
        <f>+E15+E26+E35+E53+E45+E62</f>
        <v>47</v>
      </c>
      <c r="F64" s="192">
        <f>+F15+F26+F35+F53+F45+F62</f>
        <v>196</v>
      </c>
      <c r="H64" s="684">
        <f>+F64-B64</f>
        <v>0</v>
      </c>
      <c r="I64" s="685">
        <f>+'1.mell._Össz_Mérleg2020'!C239</f>
        <v>196</v>
      </c>
      <c r="J64" s="684">
        <f>+B64-I64</f>
        <v>0</v>
      </c>
    </row>
    <row r="65" spans="1:10">
      <c r="A65" s="171"/>
      <c r="B65" s="171"/>
      <c r="C65" s="171"/>
      <c r="D65" s="171"/>
      <c r="E65" s="171"/>
      <c r="F65" s="171"/>
      <c r="H65" s="684"/>
    </row>
    <row r="66" spans="1:10" ht="15.75">
      <c r="A66" s="1229" t="s">
        <v>423</v>
      </c>
      <c r="B66" s="1229"/>
      <c r="C66" s="1229"/>
      <c r="D66" s="1229"/>
      <c r="E66" s="1229"/>
      <c r="F66" s="1229"/>
      <c r="H66" s="684"/>
    </row>
    <row r="67" spans="1:10" ht="12.75" thickBot="1">
      <c r="A67" s="171"/>
      <c r="B67" s="171"/>
      <c r="C67" s="171"/>
      <c r="D67" s="171"/>
      <c r="E67" s="171"/>
      <c r="F67" s="171"/>
      <c r="H67" s="684"/>
    </row>
    <row r="68" spans="1:10" s="212" customFormat="1" ht="12.75" customHeight="1" thickBot="1">
      <c r="A68" s="1227" t="s">
        <v>7</v>
      </c>
      <c r="B68" s="1230" t="s">
        <v>1448</v>
      </c>
      <c r="C68" s="1232" t="s">
        <v>1448</v>
      </c>
      <c r="D68" s="1233"/>
      <c r="E68" s="1233"/>
      <c r="F68" s="1234"/>
      <c r="H68" s="684"/>
      <c r="I68" s="688"/>
    </row>
    <row r="69" spans="1:10" s="212" customFormat="1" ht="48.75" thickBot="1">
      <c r="A69" s="1228"/>
      <c r="B69" s="1231"/>
      <c r="C69" s="213" t="s">
        <v>407</v>
      </c>
      <c r="D69" s="214" t="s">
        <v>408</v>
      </c>
      <c r="E69" s="215" t="s">
        <v>409</v>
      </c>
      <c r="F69" s="216" t="s">
        <v>18</v>
      </c>
      <c r="H69" s="684"/>
      <c r="I69" s="688"/>
    </row>
    <row r="70" spans="1:10">
      <c r="A70" s="172"/>
      <c r="B70" s="203"/>
      <c r="C70" s="203"/>
      <c r="D70" s="204"/>
      <c r="E70" s="205"/>
      <c r="F70" s="206"/>
      <c r="H70" s="684"/>
    </row>
    <row r="71" spans="1:10">
      <c r="A71" s="177" t="s">
        <v>410</v>
      </c>
      <c r="B71" s="178">
        <f>+B72+B73+B74</f>
        <v>148</v>
      </c>
      <c r="C71" s="178">
        <f>+C72+C73+C74</f>
        <v>0</v>
      </c>
      <c r="D71" s="179">
        <f>+D72+D73+D74</f>
        <v>0</v>
      </c>
      <c r="E71" s="179">
        <f>+E72+E73+E74</f>
        <v>148</v>
      </c>
      <c r="F71" s="180">
        <f>+F72+F73+F74</f>
        <v>148</v>
      </c>
      <c r="H71" s="684">
        <f>+F71-B71</f>
        <v>0</v>
      </c>
    </row>
    <row r="72" spans="1:10">
      <c r="A72" s="912" t="s">
        <v>708</v>
      </c>
      <c r="B72" s="1335"/>
      <c r="C72" s="181"/>
      <c r="D72" s="182"/>
      <c r="E72" s="182">
        <f>+B72</f>
        <v>0</v>
      </c>
      <c r="F72" s="180">
        <f>+C72+D72+E72</f>
        <v>0</v>
      </c>
      <c r="H72" s="684">
        <f>+F72-B72</f>
        <v>0</v>
      </c>
    </row>
    <row r="73" spans="1:10">
      <c r="A73" s="913" t="s">
        <v>711</v>
      </c>
      <c r="B73" s="183">
        <v>105</v>
      </c>
      <c r="C73" s="183"/>
      <c r="D73" s="184"/>
      <c r="E73" s="182">
        <f>+B73</f>
        <v>105</v>
      </c>
      <c r="F73" s="180">
        <f>+C73+D73+E73</f>
        <v>105</v>
      </c>
      <c r="H73" s="684">
        <f>+F73-B73</f>
        <v>0</v>
      </c>
    </row>
    <row r="74" spans="1:10" ht="12.75" thickBot="1">
      <c r="A74" s="914" t="s">
        <v>714</v>
      </c>
      <c r="B74" s="207">
        <v>43</v>
      </c>
      <c r="C74" s="207"/>
      <c r="D74" s="208"/>
      <c r="E74" s="182">
        <f>+B74</f>
        <v>43</v>
      </c>
      <c r="F74" s="180">
        <f>+C74+D74+E74</f>
        <v>43</v>
      </c>
      <c r="H74" s="684">
        <f>+F74-B74</f>
        <v>0</v>
      </c>
    </row>
    <row r="75" spans="1:10" ht="12.75" thickBot="1">
      <c r="A75" s="187" t="s">
        <v>413</v>
      </c>
      <c r="B75" s="188">
        <f>+B71</f>
        <v>148</v>
      </c>
      <c r="C75" s="188">
        <f>+C71</f>
        <v>0</v>
      </c>
      <c r="D75" s="189">
        <f>+D71</f>
        <v>0</v>
      </c>
      <c r="E75" s="189">
        <f>+E71</f>
        <v>148</v>
      </c>
      <c r="F75" s="192">
        <f>+F71</f>
        <v>148</v>
      </c>
      <c r="H75" s="684">
        <f>+F75-B75</f>
        <v>0</v>
      </c>
      <c r="I75" s="685">
        <f>+'1.1.mell._ÖNK_Mérleg2020'!C241</f>
        <v>148</v>
      </c>
      <c r="J75" s="685">
        <f>+B75-I75</f>
        <v>0</v>
      </c>
    </row>
    <row r="76" spans="1:10" ht="12.75" thickBot="1">
      <c r="A76" s="187"/>
      <c r="B76" s="188"/>
      <c r="C76" s="188"/>
      <c r="D76" s="189"/>
      <c r="E76" s="189"/>
      <c r="F76" s="192"/>
      <c r="H76" s="684"/>
    </row>
    <row r="77" spans="1:10" ht="12.75" thickBot="1">
      <c r="A77" s="202" t="s">
        <v>426</v>
      </c>
      <c r="B77" s="188">
        <f>+B75</f>
        <v>148</v>
      </c>
      <c r="C77" s="188">
        <f>+C75</f>
        <v>0</v>
      </c>
      <c r="D77" s="191">
        <f>+D75</f>
        <v>0</v>
      </c>
      <c r="E77" s="189">
        <f>+E75</f>
        <v>148</v>
      </c>
      <c r="F77" s="192">
        <f>+F75</f>
        <v>148</v>
      </c>
      <c r="H77" s="684">
        <f>+F77-B77</f>
        <v>0</v>
      </c>
      <c r="I77" s="685">
        <f>+'1.mell._Össz_Mérleg2020'!C241</f>
        <v>148</v>
      </c>
      <c r="J77" s="685">
        <f>+B77-I77</f>
        <v>0</v>
      </c>
    </row>
    <row r="78" spans="1:10" ht="12.75" thickBot="1">
      <c r="H78" s="684"/>
    </row>
    <row r="79" spans="1:10" s="212" customFormat="1" ht="12.75" thickBot="1">
      <c r="A79" s="217" t="s">
        <v>425</v>
      </c>
      <c r="B79" s="680">
        <f>+B64+B77</f>
        <v>344</v>
      </c>
      <c r="C79" s="681">
        <f>+C64+C77</f>
        <v>46</v>
      </c>
      <c r="D79" s="682">
        <f>+D64+D77</f>
        <v>103</v>
      </c>
      <c r="E79" s="681">
        <f>+E64+E77</f>
        <v>195</v>
      </c>
      <c r="F79" s="680">
        <f>+F64+F77</f>
        <v>344</v>
      </c>
      <c r="H79" s="684">
        <f>+F79-B79</f>
        <v>0</v>
      </c>
      <c r="I79" s="685">
        <f>+'1.mell._Össz_Mérleg2020'!C242</f>
        <v>344</v>
      </c>
      <c r="J79" s="685">
        <f>+B79-I79</f>
        <v>0</v>
      </c>
    </row>
  </sheetData>
  <mergeCells count="9">
    <mergeCell ref="A68:A69"/>
    <mergeCell ref="A66:F66"/>
    <mergeCell ref="B68:B69"/>
    <mergeCell ref="C68:F68"/>
    <mergeCell ref="A3:F3"/>
    <mergeCell ref="A4:F4"/>
    <mergeCell ref="A6:A7"/>
    <mergeCell ref="C6:F6"/>
    <mergeCell ref="B6:B7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71" orientation="portrait" r:id="rId1"/>
  <colBreaks count="1" manualBreakCount="1">
    <brk id="6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B0F0"/>
  </sheetPr>
  <dimension ref="A1:U337"/>
  <sheetViews>
    <sheetView zoomScaleNormal="100" workbookViewId="0"/>
  </sheetViews>
  <sheetFormatPr defaultColWidth="9.140625" defaultRowHeight="12"/>
  <cols>
    <col min="1" max="1" width="50.7109375" style="1025" customWidth="1"/>
    <col min="2" max="7" width="10.7109375" style="1025" customWidth="1"/>
    <col min="8" max="8" width="10.7109375" style="1027" customWidth="1"/>
    <col min="9" max="9" width="50.7109375" style="1025" customWidth="1"/>
    <col min="10" max="16" width="10.7109375" style="1025" customWidth="1"/>
    <col min="17" max="17" width="9.140625" style="1025" hidden="1" customWidth="1"/>
    <col min="18" max="18" width="9.7109375" style="1025" hidden="1" customWidth="1"/>
    <col min="19" max="19" width="9.140625" style="1025" hidden="1" customWidth="1"/>
    <col min="20" max="21" width="0" style="1025" hidden="1" customWidth="1"/>
    <col min="22" max="16384" width="9.140625" style="1025"/>
  </cols>
  <sheetData>
    <row r="1" spans="1:16" s="1017" customFormat="1" ht="15.75">
      <c r="A1" s="675"/>
      <c r="B1" s="675"/>
      <c r="C1" s="675"/>
      <c r="D1" s="675"/>
      <c r="E1" s="675"/>
      <c r="F1" s="675"/>
      <c r="G1" s="675"/>
      <c r="H1" s="910"/>
      <c r="I1" s="675"/>
      <c r="J1" s="675"/>
      <c r="K1" s="675"/>
      <c r="M1" s="218"/>
      <c r="N1" s="218"/>
      <c r="O1" s="218" t="s">
        <v>443</v>
      </c>
      <c r="P1" s="218"/>
    </row>
    <row r="2" spans="1:16" s="1017" customFormat="1" ht="15.75">
      <c r="A2" s="675"/>
      <c r="B2" s="675"/>
      <c r="C2" s="675"/>
      <c r="D2" s="675"/>
      <c r="E2" s="675"/>
      <c r="F2" s="675"/>
      <c r="G2" s="675"/>
      <c r="H2" s="910"/>
      <c r="I2" s="675"/>
      <c r="J2" s="675"/>
      <c r="K2" s="675"/>
      <c r="L2" s="218"/>
      <c r="M2" s="218"/>
      <c r="N2" s="218"/>
      <c r="O2" s="218"/>
      <c r="P2" s="218"/>
    </row>
    <row r="3" spans="1:16" s="1017" customFormat="1" ht="15.75">
      <c r="A3" s="1236" t="s">
        <v>454</v>
      </c>
      <c r="B3" s="1236"/>
      <c r="C3" s="1236"/>
      <c r="D3" s="1236"/>
      <c r="E3" s="1236"/>
      <c r="F3" s="1236"/>
      <c r="G3" s="1236"/>
      <c r="H3" s="1236"/>
      <c r="I3" s="1236"/>
      <c r="J3" s="1236"/>
      <c r="K3" s="1236"/>
      <c r="L3" s="1236"/>
      <c r="M3" s="1236"/>
      <c r="N3" s="1236"/>
      <c r="O3" s="1236"/>
      <c r="P3" s="1146"/>
    </row>
    <row r="4" spans="1:16" s="1017" customFormat="1" ht="15.75">
      <c r="H4" s="1018"/>
    </row>
    <row r="5" spans="1:16" s="1017" customFormat="1" ht="15.75">
      <c r="A5" s="219" t="s">
        <v>429</v>
      </c>
      <c r="B5" s="1238" t="s">
        <v>1516</v>
      </c>
      <c r="C5" s="1238"/>
      <c r="D5" s="1238"/>
      <c r="E5" s="1238"/>
      <c r="F5" s="1238"/>
      <c r="G5" s="1238"/>
      <c r="H5" s="910"/>
      <c r="I5" s="219" t="s">
        <v>430</v>
      </c>
      <c r="J5" s="1238" t="s">
        <v>1105</v>
      </c>
      <c r="K5" s="1238"/>
      <c r="L5" s="1238"/>
      <c r="M5" s="1238"/>
      <c r="N5" s="1238"/>
      <c r="O5" s="1238"/>
      <c r="P5" s="1147"/>
    </row>
    <row r="6" spans="1:16" s="1017" customFormat="1" ht="15.75" customHeight="1">
      <c r="A6" s="1159" t="s">
        <v>1517</v>
      </c>
      <c r="B6" s="1159"/>
      <c r="C6" s="1159"/>
      <c r="D6" s="1159"/>
      <c r="E6" s="1159"/>
      <c r="F6" s="1159"/>
      <c r="G6" s="1159"/>
      <c r="H6" s="910"/>
      <c r="I6" s="1159" t="s">
        <v>1106</v>
      </c>
      <c r="J6" s="1159"/>
      <c r="K6" s="1159"/>
      <c r="L6" s="1159"/>
      <c r="M6" s="1159"/>
      <c r="N6" s="1159"/>
      <c r="O6" s="1159"/>
      <c r="P6" s="1140"/>
    </row>
    <row r="7" spans="1:16" s="1017" customFormat="1" ht="15.75">
      <c r="A7" s="1236" t="s">
        <v>1109</v>
      </c>
      <c r="B7" s="1236"/>
      <c r="C7" s="1236"/>
      <c r="D7" s="1236"/>
      <c r="E7" s="1236"/>
      <c r="F7" s="1236"/>
      <c r="G7" s="1236"/>
      <c r="H7" s="910"/>
      <c r="I7" s="1236" t="s">
        <v>1109</v>
      </c>
      <c r="J7" s="1236"/>
      <c r="K7" s="1236"/>
      <c r="L7" s="1236"/>
      <c r="M7" s="1236"/>
      <c r="N7" s="1236"/>
      <c r="O7" s="1236"/>
      <c r="P7" s="1146"/>
    </row>
    <row r="8" spans="1:16" s="1020" customFormat="1" ht="12.75" thickBot="1">
      <c r="A8" s="1019"/>
      <c r="B8" s="1019"/>
      <c r="C8" s="1019"/>
      <c r="D8" s="1019"/>
      <c r="E8" s="1019"/>
      <c r="G8" s="269" t="s">
        <v>280</v>
      </c>
      <c r="H8" s="1021"/>
      <c r="I8" s="1019"/>
      <c r="J8" s="1019"/>
      <c r="L8" s="1019"/>
      <c r="M8" s="1019"/>
      <c r="O8" s="269" t="s">
        <v>280</v>
      </c>
      <c r="P8" s="1006"/>
    </row>
    <row r="9" spans="1:16" s="1023" customFormat="1" ht="24.75" thickBot="1">
      <c r="A9" s="442" t="s">
        <v>431</v>
      </c>
      <c r="B9" s="443" t="s">
        <v>1449</v>
      </c>
      <c r="C9" s="227" t="s">
        <v>1442</v>
      </c>
      <c r="D9" s="422" t="s">
        <v>460</v>
      </c>
      <c r="E9" s="423" t="s">
        <v>461</v>
      </c>
      <c r="F9" s="423" t="s">
        <v>1450</v>
      </c>
      <c r="G9" s="1149" t="s">
        <v>18</v>
      </c>
      <c r="H9" s="1022"/>
      <c r="I9" s="442" t="s">
        <v>431</v>
      </c>
      <c r="J9" s="443" t="s">
        <v>1449</v>
      </c>
      <c r="K9" s="227" t="s">
        <v>1442</v>
      </c>
      <c r="L9" s="422" t="s">
        <v>460</v>
      </c>
      <c r="M9" s="423" t="s">
        <v>461</v>
      </c>
      <c r="N9" s="423" t="s">
        <v>1450</v>
      </c>
      <c r="O9" s="1149" t="s">
        <v>18</v>
      </c>
      <c r="P9" s="1007"/>
    </row>
    <row r="10" spans="1:16">
      <c r="A10" s="228" t="s">
        <v>432</v>
      </c>
      <c r="B10" s="229">
        <f t="shared" ref="B10:F10" si="0">+B27-B15-B14-B13-B12</f>
        <v>0</v>
      </c>
      <c r="C10" s="230">
        <f t="shared" si="0"/>
        <v>2826</v>
      </c>
      <c r="D10" s="231">
        <f t="shared" si="0"/>
        <v>0</v>
      </c>
      <c r="E10" s="232">
        <f t="shared" si="0"/>
        <v>0</v>
      </c>
      <c r="F10" s="232">
        <f t="shared" si="0"/>
        <v>0</v>
      </c>
      <c r="G10" s="233">
        <f t="shared" ref="G10" si="1">+G27-G15-G14-G13-G12</f>
        <v>2826</v>
      </c>
      <c r="H10" s="1024"/>
      <c r="I10" s="228" t="s">
        <v>432</v>
      </c>
      <c r="J10" s="229">
        <f t="shared" ref="J10:O10" si="2">+J27-J15-J14-J13-J12</f>
        <v>0</v>
      </c>
      <c r="K10" s="230">
        <f t="shared" si="2"/>
        <v>188134</v>
      </c>
      <c r="L10" s="231">
        <f t="shared" si="2"/>
        <v>0</v>
      </c>
      <c r="M10" s="232">
        <f t="shared" si="2"/>
        <v>0</v>
      </c>
      <c r="N10" s="232">
        <f t="shared" si="2"/>
        <v>0</v>
      </c>
      <c r="O10" s="233">
        <f t="shared" si="2"/>
        <v>188134</v>
      </c>
      <c r="P10" s="221"/>
    </row>
    <row r="11" spans="1:16">
      <c r="A11" s="234" t="s">
        <v>433</v>
      </c>
      <c r="B11" s="235"/>
      <c r="C11" s="236"/>
      <c r="D11" s="237"/>
      <c r="E11" s="238"/>
      <c r="F11" s="238"/>
      <c r="G11" s="239">
        <f>+B11+C11+D11+E11+F11</f>
        <v>0</v>
      </c>
      <c r="H11" s="1024"/>
      <c r="I11" s="234" t="s">
        <v>433</v>
      </c>
      <c r="J11" s="235"/>
      <c r="K11" s="236"/>
      <c r="L11" s="237"/>
      <c r="M11" s="238"/>
      <c r="N11" s="238"/>
      <c r="O11" s="239">
        <f>+J11+K11+L11+M11+N11</f>
        <v>0</v>
      </c>
      <c r="P11" s="1008"/>
    </row>
    <row r="12" spans="1:16">
      <c r="A12" s="240" t="s">
        <v>434</v>
      </c>
      <c r="B12" s="241"/>
      <c r="C12" s="242"/>
      <c r="D12" s="243"/>
      <c r="E12" s="244"/>
      <c r="F12" s="244"/>
      <c r="G12" s="245">
        <f>+B12+C12+D12+E12+F12</f>
        <v>0</v>
      </c>
      <c r="H12" s="1024"/>
      <c r="I12" s="240" t="s">
        <v>434</v>
      </c>
      <c r="J12" s="241"/>
      <c r="K12" s="242"/>
      <c r="L12" s="243"/>
      <c r="M12" s="244"/>
      <c r="N12" s="244"/>
      <c r="O12" s="245">
        <f>+J12+K12+L12+M12+N12</f>
        <v>0</v>
      </c>
      <c r="P12" s="221"/>
    </row>
    <row r="13" spans="1:16">
      <c r="A13" s="240" t="s">
        <v>435</v>
      </c>
      <c r="B13" s="241"/>
      <c r="C13" s="242"/>
      <c r="D13" s="243"/>
      <c r="E13" s="244"/>
      <c r="F13" s="244"/>
      <c r="G13" s="245">
        <f>+B13+C13+D13+E13+F13</f>
        <v>0</v>
      </c>
      <c r="H13" s="1024"/>
      <c r="I13" s="240" t="s">
        <v>435</v>
      </c>
      <c r="J13" s="241"/>
      <c r="K13" s="242"/>
      <c r="L13" s="243"/>
      <c r="M13" s="244"/>
      <c r="N13" s="244"/>
      <c r="O13" s="245">
        <f>+J13+K13+L13+M13+N13</f>
        <v>0</v>
      </c>
      <c r="P13" s="221"/>
    </row>
    <row r="14" spans="1:16">
      <c r="A14" s="240" t="s">
        <v>436</v>
      </c>
      <c r="B14" s="241"/>
      <c r="C14" s="242"/>
      <c r="D14" s="243"/>
      <c r="E14" s="244"/>
      <c r="F14" s="244"/>
      <c r="G14" s="245">
        <f>+B14+C14+D14+E14+F14</f>
        <v>0</v>
      </c>
      <c r="H14" s="1024"/>
      <c r="I14" s="240" t="s">
        <v>436</v>
      </c>
      <c r="J14" s="241"/>
      <c r="K14" s="242"/>
      <c r="L14" s="243"/>
      <c r="M14" s="244"/>
      <c r="N14" s="244"/>
      <c r="O14" s="245">
        <f>+J14+K14+L14+M14+N14</f>
        <v>0</v>
      </c>
      <c r="P14" s="221"/>
    </row>
    <row r="15" spans="1:16" ht="12.75" thickBot="1">
      <c r="A15" s="240" t="s">
        <v>437</v>
      </c>
      <c r="B15" s="241"/>
      <c r="C15" s="242"/>
      <c r="D15" s="243"/>
      <c r="E15" s="244"/>
      <c r="F15" s="244"/>
      <c r="G15" s="245">
        <f>+B15+C15+D15+E15+F15</f>
        <v>0</v>
      </c>
      <c r="H15" s="1024"/>
      <c r="I15" s="240" t="s">
        <v>437</v>
      </c>
      <c r="J15" s="241"/>
      <c r="K15" s="242"/>
      <c r="L15" s="243"/>
      <c r="M15" s="244"/>
      <c r="N15" s="244"/>
      <c r="O15" s="245">
        <f>+J15+K15+L15+M15+N15</f>
        <v>0</v>
      </c>
      <c r="P15" s="221"/>
    </row>
    <row r="16" spans="1:16" ht="12.75" thickBot="1">
      <c r="A16" s="220" t="s">
        <v>438</v>
      </c>
      <c r="B16" s="246">
        <f t="shared" ref="B16:G16" si="3">+B10+B12+B13+B14+B15</f>
        <v>0</v>
      </c>
      <c r="C16" s="247">
        <f t="shared" si="3"/>
        <v>2826</v>
      </c>
      <c r="D16" s="248">
        <f t="shared" si="3"/>
        <v>0</v>
      </c>
      <c r="E16" s="246">
        <f t="shared" si="3"/>
        <v>0</v>
      </c>
      <c r="F16" s="246">
        <f t="shared" si="3"/>
        <v>0</v>
      </c>
      <c r="G16" s="247">
        <f t="shared" si="3"/>
        <v>2826</v>
      </c>
      <c r="H16" s="1024"/>
      <c r="I16" s="220" t="s">
        <v>438</v>
      </c>
      <c r="J16" s="246">
        <f t="shared" ref="J16:O16" si="4">+J10+J12+J13+J14+J15</f>
        <v>0</v>
      </c>
      <c r="K16" s="247">
        <f t="shared" si="4"/>
        <v>188134</v>
      </c>
      <c r="L16" s="248">
        <f t="shared" si="4"/>
        <v>0</v>
      </c>
      <c r="M16" s="246">
        <f t="shared" si="4"/>
        <v>0</v>
      </c>
      <c r="N16" s="246">
        <f t="shared" si="4"/>
        <v>0</v>
      </c>
      <c r="O16" s="247">
        <f t="shared" si="4"/>
        <v>188134</v>
      </c>
      <c r="P16" s="221"/>
    </row>
    <row r="17" spans="1:18" ht="12.75" thickBot="1">
      <c r="A17" s="249"/>
      <c r="B17" s="249"/>
      <c r="C17" s="249"/>
      <c r="D17" s="249"/>
      <c r="E17" s="249"/>
      <c r="F17" s="249"/>
      <c r="G17" s="249"/>
      <c r="H17" s="1024"/>
      <c r="I17" s="249"/>
      <c r="J17" s="249"/>
      <c r="K17" s="249"/>
      <c r="L17" s="249"/>
      <c r="M17" s="249"/>
      <c r="N17" s="249"/>
      <c r="O17" s="249"/>
      <c r="P17" s="249"/>
    </row>
    <row r="18" spans="1:18" s="1023" customFormat="1" ht="24.75" thickBot="1">
      <c r="A18" s="442" t="s">
        <v>439</v>
      </c>
      <c r="B18" s="443" t="s">
        <v>1449</v>
      </c>
      <c r="C18" s="227" t="s">
        <v>1442</v>
      </c>
      <c r="D18" s="422" t="s">
        <v>460</v>
      </c>
      <c r="E18" s="423" t="s">
        <v>461</v>
      </c>
      <c r="F18" s="423" t="s">
        <v>1450</v>
      </c>
      <c r="G18" s="1149" t="s">
        <v>18</v>
      </c>
      <c r="H18" s="1026"/>
      <c r="I18" s="442" t="s">
        <v>439</v>
      </c>
      <c r="J18" s="443" t="s">
        <v>1449</v>
      </c>
      <c r="K18" s="227" t="s">
        <v>1442</v>
      </c>
      <c r="L18" s="422" t="s">
        <v>460</v>
      </c>
      <c r="M18" s="423" t="s">
        <v>461</v>
      </c>
      <c r="N18" s="423" t="s">
        <v>1450</v>
      </c>
      <c r="O18" s="1149" t="s">
        <v>18</v>
      </c>
      <c r="P18" s="1007"/>
    </row>
    <row r="19" spans="1:18">
      <c r="A19" s="228" t="s">
        <v>445</v>
      </c>
      <c r="B19" s="229"/>
      <c r="C19" s="230"/>
      <c r="D19" s="231"/>
      <c r="E19" s="232"/>
      <c r="F19" s="232"/>
      <c r="G19" s="233">
        <f t="shared" ref="G19:G26" si="5">+B19+C19+D19+E19+F19</f>
        <v>0</v>
      </c>
      <c r="H19" s="1024"/>
      <c r="I19" s="228" t="s">
        <v>445</v>
      </c>
      <c r="J19" s="229"/>
      <c r="K19" s="230"/>
      <c r="L19" s="231"/>
      <c r="M19" s="232"/>
      <c r="N19" s="232"/>
      <c r="O19" s="233">
        <f t="shared" ref="O19:O26" si="6">+J19+K19+L19+M19+N19</f>
        <v>0</v>
      </c>
      <c r="P19" s="221"/>
    </row>
    <row r="20" spans="1:18">
      <c r="A20" s="250" t="s">
        <v>446</v>
      </c>
      <c r="B20" s="241"/>
      <c r="C20" s="242"/>
      <c r="D20" s="243"/>
      <c r="E20" s="244"/>
      <c r="F20" s="244"/>
      <c r="G20" s="245">
        <f t="shared" si="5"/>
        <v>0</v>
      </c>
      <c r="H20" s="1024"/>
      <c r="I20" s="250" t="s">
        <v>446</v>
      </c>
      <c r="J20" s="241"/>
      <c r="K20" s="242"/>
      <c r="L20" s="243"/>
      <c r="M20" s="244"/>
      <c r="N20" s="244"/>
      <c r="O20" s="245">
        <f t="shared" si="6"/>
        <v>0</v>
      </c>
      <c r="P20" s="221"/>
    </row>
    <row r="21" spans="1:18">
      <c r="A21" s="240" t="s">
        <v>447</v>
      </c>
      <c r="B21" s="241"/>
      <c r="C21" s="242"/>
      <c r="D21" s="243"/>
      <c r="E21" s="244"/>
      <c r="F21" s="244"/>
      <c r="G21" s="245">
        <f t="shared" si="5"/>
        <v>0</v>
      </c>
      <c r="H21" s="1024"/>
      <c r="I21" s="240" t="s">
        <v>447</v>
      </c>
      <c r="J21" s="241"/>
      <c r="K21" s="242"/>
      <c r="L21" s="243"/>
      <c r="M21" s="244"/>
      <c r="N21" s="244"/>
      <c r="O21" s="245">
        <f t="shared" si="6"/>
        <v>0</v>
      </c>
      <c r="P21" s="221"/>
    </row>
    <row r="22" spans="1:18">
      <c r="A22" s="240" t="s">
        <v>448</v>
      </c>
      <c r="B22" s="241"/>
      <c r="C22" s="242"/>
      <c r="D22" s="243"/>
      <c r="E22" s="244"/>
      <c r="F22" s="244"/>
      <c r="G22" s="245">
        <f t="shared" si="5"/>
        <v>0</v>
      </c>
      <c r="H22" s="1024"/>
      <c r="I22" s="240" t="s">
        <v>448</v>
      </c>
      <c r="J22" s="241"/>
      <c r="K22" s="242"/>
      <c r="L22" s="243"/>
      <c r="M22" s="244"/>
      <c r="N22" s="244"/>
      <c r="O22" s="245">
        <f t="shared" si="6"/>
        <v>0</v>
      </c>
      <c r="P22" s="221"/>
    </row>
    <row r="23" spans="1:18">
      <c r="A23" s="251" t="s">
        <v>449</v>
      </c>
      <c r="B23" s="252"/>
      <c r="C23" s="242">
        <v>2826</v>
      </c>
      <c r="D23" s="243"/>
      <c r="E23" s="244"/>
      <c r="F23" s="244"/>
      <c r="G23" s="245">
        <f t="shared" si="5"/>
        <v>2826</v>
      </c>
      <c r="I23" s="251" t="s">
        <v>449</v>
      </c>
      <c r="J23" s="252"/>
      <c r="K23" s="242">
        <v>188134</v>
      </c>
      <c r="L23" s="243"/>
      <c r="M23" s="244"/>
      <c r="N23" s="244"/>
      <c r="O23" s="245">
        <f t="shared" si="6"/>
        <v>188134</v>
      </c>
      <c r="P23" s="221"/>
      <c r="R23" s="1024"/>
    </row>
    <row r="24" spans="1:18">
      <c r="A24" s="251" t="s">
        <v>450</v>
      </c>
      <c r="B24" s="252"/>
      <c r="C24" s="242"/>
      <c r="D24" s="243"/>
      <c r="E24" s="244"/>
      <c r="F24" s="244"/>
      <c r="G24" s="245">
        <f t="shared" si="5"/>
        <v>0</v>
      </c>
      <c r="I24" s="251" t="s">
        <v>450</v>
      </c>
      <c r="J24" s="252"/>
      <c r="K24" s="242"/>
      <c r="L24" s="243"/>
      <c r="M24" s="244"/>
      <c r="N24" s="244"/>
      <c r="O24" s="245">
        <f t="shared" si="6"/>
        <v>0</v>
      </c>
      <c r="P24" s="221"/>
      <c r="R24" s="1024"/>
    </row>
    <row r="25" spans="1:18">
      <c r="A25" s="253" t="s">
        <v>451</v>
      </c>
      <c r="B25" s="254"/>
      <c r="C25" s="255"/>
      <c r="D25" s="256"/>
      <c r="E25" s="257"/>
      <c r="F25" s="257"/>
      <c r="G25" s="245">
        <f t="shared" si="5"/>
        <v>0</v>
      </c>
      <c r="I25" s="253" t="s">
        <v>451</v>
      </c>
      <c r="J25" s="254"/>
      <c r="K25" s="255"/>
      <c r="L25" s="256"/>
      <c r="M25" s="257"/>
      <c r="N25" s="257"/>
      <c r="O25" s="245">
        <f t="shared" si="6"/>
        <v>0</v>
      </c>
      <c r="P25" s="221"/>
      <c r="R25" s="1024"/>
    </row>
    <row r="26" spans="1:18" ht="12.75" thickBot="1">
      <c r="A26" s="253" t="s">
        <v>452</v>
      </c>
      <c r="B26" s="254"/>
      <c r="C26" s="255"/>
      <c r="D26" s="256"/>
      <c r="E26" s="257"/>
      <c r="F26" s="257"/>
      <c r="G26" s="245">
        <f t="shared" si="5"/>
        <v>0</v>
      </c>
      <c r="I26" s="253" t="s">
        <v>452</v>
      </c>
      <c r="J26" s="254"/>
      <c r="K26" s="255"/>
      <c r="L26" s="256"/>
      <c r="M26" s="257"/>
      <c r="N26" s="257"/>
      <c r="O26" s="245">
        <f t="shared" si="6"/>
        <v>0</v>
      </c>
      <c r="P26" s="221"/>
      <c r="R26" s="1024"/>
    </row>
    <row r="27" spans="1:18" ht="12.75" thickBot="1">
      <c r="A27" s="220" t="s">
        <v>453</v>
      </c>
      <c r="B27" s="246">
        <f t="shared" ref="B27:G27" si="7">+B19+B20+B21+B22+B23+B24+B25+B26</f>
        <v>0</v>
      </c>
      <c r="C27" s="247">
        <f t="shared" si="7"/>
        <v>2826</v>
      </c>
      <c r="D27" s="248">
        <f t="shared" si="7"/>
        <v>0</v>
      </c>
      <c r="E27" s="246">
        <f t="shared" si="7"/>
        <v>0</v>
      </c>
      <c r="F27" s="246">
        <f t="shared" si="7"/>
        <v>0</v>
      </c>
      <c r="G27" s="247">
        <f t="shared" si="7"/>
        <v>2826</v>
      </c>
      <c r="I27" s="220" t="s">
        <v>453</v>
      </c>
      <c r="J27" s="246">
        <f t="shared" ref="J27:O27" si="8">+J19+J20+J21+J22+J23+J24+J25+J26</f>
        <v>0</v>
      </c>
      <c r="K27" s="247">
        <f t="shared" si="8"/>
        <v>188134</v>
      </c>
      <c r="L27" s="248">
        <f t="shared" si="8"/>
        <v>0</v>
      </c>
      <c r="M27" s="246">
        <f t="shared" si="8"/>
        <v>0</v>
      </c>
      <c r="N27" s="246">
        <f t="shared" si="8"/>
        <v>0</v>
      </c>
      <c r="O27" s="247">
        <f t="shared" si="8"/>
        <v>188134</v>
      </c>
      <c r="P27" s="221"/>
      <c r="R27" s="1024"/>
    </row>
    <row r="28" spans="1:18">
      <c r="R28" s="1027"/>
    </row>
    <row r="29" spans="1:18">
      <c r="R29" s="1027"/>
    </row>
    <row r="30" spans="1:18" s="1017" customFormat="1" ht="15.75">
      <c r="A30" s="219" t="s">
        <v>441</v>
      </c>
      <c r="B30" s="1240" t="s">
        <v>1108</v>
      </c>
      <c r="C30" s="1240"/>
      <c r="D30" s="1240"/>
      <c r="E30" s="1240"/>
      <c r="F30" s="1240"/>
      <c r="G30" s="1240"/>
      <c r="H30" s="910"/>
      <c r="I30" s="219" t="s">
        <v>442</v>
      </c>
      <c r="J30" s="1238" t="s">
        <v>1369</v>
      </c>
      <c r="K30" s="1238"/>
      <c r="L30" s="1238"/>
      <c r="M30" s="1238"/>
      <c r="N30" s="1238"/>
      <c r="O30" s="1238"/>
      <c r="P30" s="1147"/>
    </row>
    <row r="31" spans="1:18" s="1017" customFormat="1" ht="15.75" customHeight="1">
      <c r="A31" s="1159" t="s">
        <v>1107</v>
      </c>
      <c r="B31" s="1159"/>
      <c r="C31" s="1159"/>
      <c r="D31" s="1159"/>
      <c r="E31" s="1159"/>
      <c r="F31" s="1159"/>
      <c r="G31" s="1159"/>
      <c r="H31" s="910"/>
      <c r="I31" s="1159" t="s">
        <v>1370</v>
      </c>
      <c r="J31" s="1159"/>
      <c r="K31" s="1159"/>
      <c r="L31" s="1159"/>
      <c r="M31" s="1159"/>
      <c r="N31" s="1159"/>
      <c r="O31" s="1159"/>
      <c r="P31" s="1140"/>
    </row>
    <row r="32" spans="1:18" s="1017" customFormat="1" ht="15.75">
      <c r="A32" s="1236" t="s">
        <v>1109</v>
      </c>
      <c r="B32" s="1236"/>
      <c r="C32" s="1236"/>
      <c r="D32" s="1236"/>
      <c r="E32" s="1236"/>
      <c r="F32" s="1236"/>
      <c r="G32" s="1236"/>
      <c r="H32" s="910"/>
      <c r="I32" s="1236" t="s">
        <v>1109</v>
      </c>
      <c r="J32" s="1236"/>
      <c r="K32" s="1236"/>
      <c r="L32" s="1236"/>
      <c r="M32" s="1236"/>
      <c r="N32" s="1236"/>
      <c r="O32" s="1236"/>
      <c r="P32" s="1146"/>
    </row>
    <row r="33" spans="1:16" s="1020" customFormat="1" ht="12.75" thickBot="1">
      <c r="A33" s="1019"/>
      <c r="B33" s="1019"/>
      <c r="D33" s="1019"/>
      <c r="E33" s="1019"/>
      <c r="G33" s="269" t="s">
        <v>280</v>
      </c>
      <c r="H33" s="1021"/>
      <c r="I33" s="1019"/>
      <c r="J33" s="1019"/>
      <c r="K33" s="1019"/>
      <c r="L33" s="1019"/>
      <c r="M33" s="1019"/>
      <c r="O33" s="269" t="s">
        <v>280</v>
      </c>
      <c r="P33" s="1006"/>
    </row>
    <row r="34" spans="1:16" s="1023" customFormat="1" ht="24.75" thickBot="1">
      <c r="A34" s="442" t="s">
        <v>431</v>
      </c>
      <c r="B34" s="443" t="s">
        <v>1449</v>
      </c>
      <c r="C34" s="227" t="s">
        <v>1442</v>
      </c>
      <c r="D34" s="422" t="s">
        <v>460</v>
      </c>
      <c r="E34" s="423" t="s">
        <v>461</v>
      </c>
      <c r="F34" s="423" t="s">
        <v>1450</v>
      </c>
      <c r="G34" s="1149" t="s">
        <v>18</v>
      </c>
      <c r="H34" s="1026"/>
      <c r="I34" s="442" t="s">
        <v>431</v>
      </c>
      <c r="J34" s="443" t="s">
        <v>1449</v>
      </c>
      <c r="K34" s="227" t="s">
        <v>1442</v>
      </c>
      <c r="L34" s="422" t="s">
        <v>460</v>
      </c>
      <c r="M34" s="423" t="s">
        <v>461</v>
      </c>
      <c r="N34" s="423" t="s">
        <v>1450</v>
      </c>
      <c r="O34" s="1149" t="s">
        <v>18</v>
      </c>
      <c r="P34" s="1007"/>
    </row>
    <row r="35" spans="1:16">
      <c r="A35" s="228" t="s">
        <v>432</v>
      </c>
      <c r="B35" s="229">
        <f t="shared" ref="B35:G35" si="9">+B52-B40-B39-B38-B37</f>
        <v>0</v>
      </c>
      <c r="C35" s="230">
        <f t="shared" si="9"/>
        <v>177292</v>
      </c>
      <c r="D35" s="231">
        <f t="shared" si="9"/>
        <v>0</v>
      </c>
      <c r="E35" s="232">
        <f t="shared" si="9"/>
        <v>0</v>
      </c>
      <c r="F35" s="232">
        <f t="shared" si="9"/>
        <v>0</v>
      </c>
      <c r="G35" s="233">
        <f t="shared" si="9"/>
        <v>177292</v>
      </c>
      <c r="H35" s="1024"/>
      <c r="I35" s="228" t="s">
        <v>432</v>
      </c>
      <c r="J35" s="229">
        <f t="shared" ref="J35:O35" si="10">+J52-J40-J39-J38-J37</f>
        <v>0</v>
      </c>
      <c r="K35" s="230">
        <f t="shared" si="10"/>
        <v>587082</v>
      </c>
      <c r="L35" s="231">
        <f t="shared" si="10"/>
        <v>0</v>
      </c>
      <c r="M35" s="232">
        <f t="shared" si="10"/>
        <v>0</v>
      </c>
      <c r="N35" s="232">
        <f t="shared" si="10"/>
        <v>0</v>
      </c>
      <c r="O35" s="233">
        <f t="shared" si="10"/>
        <v>587082</v>
      </c>
      <c r="P35" s="221"/>
    </row>
    <row r="36" spans="1:16">
      <c r="A36" s="234" t="s">
        <v>433</v>
      </c>
      <c r="B36" s="235"/>
      <c r="C36" s="236"/>
      <c r="D36" s="237"/>
      <c r="E36" s="238"/>
      <c r="F36" s="238"/>
      <c r="G36" s="239">
        <f>+B36+C36+D36+E36+F36</f>
        <v>0</v>
      </c>
      <c r="H36" s="1024"/>
      <c r="I36" s="234" t="s">
        <v>433</v>
      </c>
      <c r="J36" s="235"/>
      <c r="K36" s="236"/>
      <c r="L36" s="237"/>
      <c r="M36" s="238"/>
      <c r="N36" s="238"/>
      <c r="O36" s="239">
        <f>+J36+K36+L36+M36+N36</f>
        <v>0</v>
      </c>
      <c r="P36" s="1008"/>
    </row>
    <row r="37" spans="1:16">
      <c r="A37" s="240" t="s">
        <v>434</v>
      </c>
      <c r="B37" s="241"/>
      <c r="C37" s="242"/>
      <c r="D37" s="243"/>
      <c r="E37" s="244"/>
      <c r="F37" s="244"/>
      <c r="G37" s="245">
        <f>+B37+C37+D37+E37+F37</f>
        <v>0</v>
      </c>
      <c r="H37" s="1024"/>
      <c r="I37" s="240" t="s">
        <v>434</v>
      </c>
      <c r="J37" s="241"/>
      <c r="K37" s="242"/>
      <c r="L37" s="243"/>
      <c r="M37" s="244"/>
      <c r="N37" s="244"/>
      <c r="O37" s="245">
        <f>+J37+K37+L37+M37+N37</f>
        <v>0</v>
      </c>
      <c r="P37" s="221"/>
    </row>
    <row r="38" spans="1:16">
      <c r="A38" s="240" t="s">
        <v>435</v>
      </c>
      <c r="B38" s="241"/>
      <c r="C38" s="242"/>
      <c r="D38" s="243"/>
      <c r="E38" s="244"/>
      <c r="F38" s="244"/>
      <c r="G38" s="245">
        <f>+B38+C38+D38+E38+F38</f>
        <v>0</v>
      </c>
      <c r="H38" s="1024"/>
      <c r="I38" s="240" t="s">
        <v>435</v>
      </c>
      <c r="J38" s="241"/>
      <c r="K38" s="242"/>
      <c r="L38" s="243"/>
      <c r="M38" s="244"/>
      <c r="N38" s="244"/>
      <c r="O38" s="245">
        <f>+J38+K38+L38+M38+N38</f>
        <v>0</v>
      </c>
      <c r="P38" s="221"/>
    </row>
    <row r="39" spans="1:16">
      <c r="A39" s="240" t="s">
        <v>436</v>
      </c>
      <c r="B39" s="241"/>
      <c r="C39" s="242"/>
      <c r="D39" s="243"/>
      <c r="E39" s="244"/>
      <c r="F39" s="244"/>
      <c r="G39" s="245">
        <f>+B39+C39+D39+E39+F39</f>
        <v>0</v>
      </c>
      <c r="H39" s="1024"/>
      <c r="I39" s="240" t="s">
        <v>436</v>
      </c>
      <c r="J39" s="241"/>
      <c r="K39" s="242"/>
      <c r="L39" s="243"/>
      <c r="M39" s="244"/>
      <c r="N39" s="244"/>
      <c r="O39" s="245">
        <f>+J39+K39+L39+M39+N39</f>
        <v>0</v>
      </c>
      <c r="P39" s="221"/>
    </row>
    <row r="40" spans="1:16" ht="12.75" thickBot="1">
      <c r="A40" s="240" t="s">
        <v>437</v>
      </c>
      <c r="B40" s="241"/>
      <c r="C40" s="242"/>
      <c r="D40" s="243"/>
      <c r="E40" s="244"/>
      <c r="F40" s="244"/>
      <c r="G40" s="245">
        <f>+B40+C40+D40+E40+F40</f>
        <v>0</v>
      </c>
      <c r="H40" s="1024"/>
      <c r="I40" s="240" t="s">
        <v>437</v>
      </c>
      <c r="J40" s="241"/>
      <c r="K40" s="242"/>
      <c r="L40" s="243"/>
      <c r="M40" s="244"/>
      <c r="N40" s="244"/>
      <c r="O40" s="245">
        <f>+J40+K40+L40+M40+N40</f>
        <v>0</v>
      </c>
      <c r="P40" s="221"/>
    </row>
    <row r="41" spans="1:16" ht="12.75" thickBot="1">
      <c r="A41" s="220" t="s">
        <v>438</v>
      </c>
      <c r="B41" s="246">
        <f t="shared" ref="B41:G41" si="11">+B35+B37+B38+B39+B40</f>
        <v>0</v>
      </c>
      <c r="C41" s="247">
        <f t="shared" si="11"/>
        <v>177292</v>
      </c>
      <c r="D41" s="248">
        <f t="shared" si="11"/>
        <v>0</v>
      </c>
      <c r="E41" s="246">
        <f t="shared" si="11"/>
        <v>0</v>
      </c>
      <c r="F41" s="246">
        <f t="shared" si="11"/>
        <v>0</v>
      </c>
      <c r="G41" s="247">
        <f t="shared" si="11"/>
        <v>177292</v>
      </c>
      <c r="H41" s="1024"/>
      <c r="I41" s="220" t="s">
        <v>438</v>
      </c>
      <c r="J41" s="246">
        <f t="shared" ref="J41:O41" si="12">+J35+J37+J38+J39+J40</f>
        <v>0</v>
      </c>
      <c r="K41" s="247">
        <f t="shared" si="12"/>
        <v>587082</v>
      </c>
      <c r="L41" s="248">
        <f t="shared" si="12"/>
        <v>0</v>
      </c>
      <c r="M41" s="246">
        <f t="shared" si="12"/>
        <v>0</v>
      </c>
      <c r="N41" s="246">
        <f t="shared" si="12"/>
        <v>0</v>
      </c>
      <c r="O41" s="247">
        <f t="shared" si="12"/>
        <v>587082</v>
      </c>
      <c r="P41" s="221"/>
    </row>
    <row r="42" spans="1:16" ht="12.75" thickBot="1">
      <c r="A42" s="249"/>
      <c r="B42" s="249"/>
      <c r="C42" s="249"/>
      <c r="D42" s="249"/>
      <c r="E42" s="249"/>
      <c r="F42" s="249"/>
      <c r="G42" s="249"/>
      <c r="H42" s="1024"/>
      <c r="I42" s="249"/>
      <c r="J42" s="249"/>
      <c r="K42" s="249"/>
      <c r="L42" s="249"/>
      <c r="M42" s="249"/>
      <c r="N42" s="249"/>
      <c r="O42" s="249"/>
      <c r="P42" s="249"/>
    </row>
    <row r="43" spans="1:16" s="1023" customFormat="1" ht="24.75" thickBot="1">
      <c r="A43" s="442" t="s">
        <v>439</v>
      </c>
      <c r="B43" s="443" t="s">
        <v>1449</v>
      </c>
      <c r="C43" s="227" t="s">
        <v>1442</v>
      </c>
      <c r="D43" s="422" t="s">
        <v>460</v>
      </c>
      <c r="E43" s="423" t="s">
        <v>461</v>
      </c>
      <c r="F43" s="423" t="s">
        <v>1450</v>
      </c>
      <c r="G43" s="1149" t="s">
        <v>18</v>
      </c>
      <c r="H43" s="1026"/>
      <c r="I43" s="442" t="s">
        <v>439</v>
      </c>
      <c r="J43" s="443" t="s">
        <v>1449</v>
      </c>
      <c r="K43" s="227" t="s">
        <v>1442</v>
      </c>
      <c r="L43" s="422" t="s">
        <v>460</v>
      </c>
      <c r="M43" s="423" t="s">
        <v>461</v>
      </c>
      <c r="N43" s="423" t="s">
        <v>1450</v>
      </c>
      <c r="O43" s="1149" t="s">
        <v>18</v>
      </c>
      <c r="P43" s="1007"/>
    </row>
    <row r="44" spans="1:16">
      <c r="A44" s="228" t="s">
        <v>445</v>
      </c>
      <c r="B44" s="229"/>
      <c r="C44" s="230"/>
      <c r="D44" s="231"/>
      <c r="E44" s="232"/>
      <c r="F44" s="232"/>
      <c r="G44" s="233">
        <f t="shared" ref="G44:G51" si="13">+B44+C44+D44+E44+F44</f>
        <v>0</v>
      </c>
      <c r="H44" s="1024"/>
      <c r="I44" s="228" t="s">
        <v>445</v>
      </c>
      <c r="J44" s="229"/>
      <c r="K44" s="230"/>
      <c r="L44" s="231"/>
      <c r="M44" s="232"/>
      <c r="N44" s="232"/>
      <c r="O44" s="233">
        <f t="shared" ref="O44:O51" si="14">+J44+K44+L44+M44+N44</f>
        <v>0</v>
      </c>
      <c r="P44" s="221"/>
    </row>
    <row r="45" spans="1:16">
      <c r="A45" s="250" t="s">
        <v>446</v>
      </c>
      <c r="B45" s="241"/>
      <c r="C45" s="242"/>
      <c r="D45" s="243"/>
      <c r="E45" s="244"/>
      <c r="F45" s="244"/>
      <c r="G45" s="245">
        <f t="shared" si="13"/>
        <v>0</v>
      </c>
      <c r="H45" s="1024"/>
      <c r="I45" s="250" t="s">
        <v>446</v>
      </c>
      <c r="J45" s="241"/>
      <c r="K45" s="242"/>
      <c r="L45" s="243"/>
      <c r="M45" s="244"/>
      <c r="N45" s="244"/>
      <c r="O45" s="245">
        <f t="shared" si="14"/>
        <v>0</v>
      </c>
      <c r="P45" s="221"/>
    </row>
    <row r="46" spans="1:16">
      <c r="A46" s="240" t="s">
        <v>447</v>
      </c>
      <c r="B46" s="241"/>
      <c r="C46" s="242"/>
      <c r="D46" s="243"/>
      <c r="E46" s="244"/>
      <c r="F46" s="244"/>
      <c r="G46" s="245">
        <f t="shared" si="13"/>
        <v>0</v>
      </c>
      <c r="H46" s="1024"/>
      <c r="I46" s="240" t="s">
        <v>447</v>
      </c>
      <c r="J46" s="241"/>
      <c r="K46" s="242"/>
      <c r="L46" s="243"/>
      <c r="M46" s="244"/>
      <c r="N46" s="244"/>
      <c r="O46" s="245">
        <f t="shared" si="14"/>
        <v>0</v>
      </c>
      <c r="P46" s="221"/>
    </row>
    <row r="47" spans="1:16">
      <c r="A47" s="240" t="s">
        <v>448</v>
      </c>
      <c r="B47" s="241"/>
      <c r="C47" s="242"/>
      <c r="D47" s="243"/>
      <c r="E47" s="244"/>
      <c r="F47" s="244"/>
      <c r="G47" s="245">
        <f t="shared" si="13"/>
        <v>0</v>
      </c>
      <c r="H47" s="1024"/>
      <c r="I47" s="240" t="s">
        <v>448</v>
      </c>
      <c r="J47" s="241"/>
      <c r="K47" s="242"/>
      <c r="L47" s="243"/>
      <c r="M47" s="244"/>
      <c r="N47" s="244"/>
      <c r="O47" s="245">
        <f t="shared" si="14"/>
        <v>0</v>
      </c>
      <c r="P47" s="221"/>
    </row>
    <row r="48" spans="1:16">
      <c r="A48" s="251" t="s">
        <v>449</v>
      </c>
      <c r="B48" s="252"/>
      <c r="C48" s="242">
        <v>177292</v>
      </c>
      <c r="D48" s="243"/>
      <c r="E48" s="244"/>
      <c r="F48" s="244"/>
      <c r="G48" s="245">
        <f t="shared" si="13"/>
        <v>177292</v>
      </c>
      <c r="H48" s="1024"/>
      <c r="I48" s="251" t="s">
        <v>449</v>
      </c>
      <c r="J48" s="252"/>
      <c r="K48" s="242">
        <v>587082</v>
      </c>
      <c r="L48" s="243"/>
      <c r="M48" s="244"/>
      <c r="N48" s="244"/>
      <c r="O48" s="245">
        <f t="shared" si="14"/>
        <v>587082</v>
      </c>
      <c r="P48" s="221"/>
    </row>
    <row r="49" spans="1:19">
      <c r="A49" s="251" t="s">
        <v>450</v>
      </c>
      <c r="B49" s="252"/>
      <c r="C49" s="242"/>
      <c r="D49" s="243"/>
      <c r="E49" s="244"/>
      <c r="F49" s="244"/>
      <c r="G49" s="245">
        <f t="shared" si="13"/>
        <v>0</v>
      </c>
      <c r="H49" s="1024"/>
      <c r="I49" s="251" t="s">
        <v>450</v>
      </c>
      <c r="J49" s="252"/>
      <c r="K49" s="242"/>
      <c r="L49" s="243"/>
      <c r="M49" s="244"/>
      <c r="N49" s="244"/>
      <c r="O49" s="245">
        <f t="shared" si="14"/>
        <v>0</v>
      </c>
      <c r="P49" s="221"/>
    </row>
    <row r="50" spans="1:19">
      <c r="A50" s="253" t="s">
        <v>451</v>
      </c>
      <c r="B50" s="254"/>
      <c r="C50" s="255"/>
      <c r="D50" s="256"/>
      <c r="E50" s="257"/>
      <c r="F50" s="257"/>
      <c r="G50" s="245">
        <f t="shared" si="13"/>
        <v>0</v>
      </c>
      <c r="H50" s="1024"/>
      <c r="I50" s="253" t="s">
        <v>451</v>
      </c>
      <c r="J50" s="254"/>
      <c r="K50" s="255"/>
      <c r="L50" s="256"/>
      <c r="M50" s="257"/>
      <c r="N50" s="257"/>
      <c r="O50" s="245">
        <f t="shared" si="14"/>
        <v>0</v>
      </c>
      <c r="P50" s="221"/>
    </row>
    <row r="51" spans="1:19" ht="12.75" thickBot="1">
      <c r="A51" s="253" t="s">
        <v>452</v>
      </c>
      <c r="B51" s="254"/>
      <c r="C51" s="255"/>
      <c r="D51" s="256"/>
      <c r="E51" s="257"/>
      <c r="F51" s="257"/>
      <c r="G51" s="245">
        <f t="shared" si="13"/>
        <v>0</v>
      </c>
      <c r="H51" s="1024"/>
      <c r="I51" s="253" t="s">
        <v>452</v>
      </c>
      <c r="J51" s="254"/>
      <c r="K51" s="255"/>
      <c r="L51" s="256"/>
      <c r="M51" s="257"/>
      <c r="N51" s="257"/>
      <c r="O51" s="245">
        <f t="shared" si="14"/>
        <v>0</v>
      </c>
      <c r="P51" s="221"/>
    </row>
    <row r="52" spans="1:19" ht="12.75" thickBot="1">
      <c r="A52" s="220" t="s">
        <v>453</v>
      </c>
      <c r="B52" s="246">
        <f t="shared" ref="B52:G52" si="15">+B44+B45+B46+B47+B48+B49+B50+B51</f>
        <v>0</v>
      </c>
      <c r="C52" s="247">
        <f t="shared" si="15"/>
        <v>177292</v>
      </c>
      <c r="D52" s="248">
        <f t="shared" si="15"/>
        <v>0</v>
      </c>
      <c r="E52" s="246">
        <f t="shared" si="15"/>
        <v>0</v>
      </c>
      <c r="F52" s="246">
        <f t="shared" si="15"/>
        <v>0</v>
      </c>
      <c r="G52" s="247">
        <f t="shared" si="15"/>
        <v>177292</v>
      </c>
      <c r="I52" s="220" t="s">
        <v>453</v>
      </c>
      <c r="J52" s="246">
        <f t="shared" ref="J52:O52" si="16">+J44+J45+J46+J47+J48+J49+J50+J51</f>
        <v>0</v>
      </c>
      <c r="K52" s="247">
        <f t="shared" si="16"/>
        <v>587082</v>
      </c>
      <c r="L52" s="248">
        <f t="shared" si="16"/>
        <v>0</v>
      </c>
      <c r="M52" s="246">
        <f t="shared" si="16"/>
        <v>0</v>
      </c>
      <c r="N52" s="246">
        <f t="shared" si="16"/>
        <v>0</v>
      </c>
      <c r="O52" s="247">
        <f t="shared" si="16"/>
        <v>587082</v>
      </c>
      <c r="P52" s="221"/>
      <c r="R52" s="1024"/>
    </row>
    <row r="53" spans="1:19">
      <c r="A53" s="221"/>
      <c r="B53" s="221"/>
      <c r="C53" s="221"/>
      <c r="D53" s="221"/>
      <c r="E53" s="221"/>
      <c r="F53" s="221"/>
      <c r="G53" s="221"/>
      <c r="H53" s="1024"/>
      <c r="I53" s="221"/>
      <c r="J53" s="221"/>
      <c r="K53" s="221"/>
      <c r="L53" s="221"/>
      <c r="M53" s="221"/>
      <c r="N53" s="221"/>
      <c r="O53" s="221"/>
      <c r="P53" s="221"/>
    </row>
    <row r="54" spans="1:19">
      <c r="A54" s="221"/>
      <c r="B54" s="221"/>
      <c r="C54" s="221"/>
      <c r="D54" s="221"/>
      <c r="E54" s="221"/>
      <c r="F54" s="221"/>
      <c r="G54" s="221"/>
      <c r="H54" s="1024"/>
      <c r="I54" s="221"/>
      <c r="J54" s="221"/>
      <c r="K54" s="221"/>
      <c r="L54" s="221"/>
      <c r="M54" s="221"/>
      <c r="N54" s="221"/>
      <c r="O54" s="221"/>
      <c r="P54" s="221"/>
    </row>
    <row r="55" spans="1:19" s="1017" customFormat="1" ht="15.75">
      <c r="A55" s="219" t="s">
        <v>1183</v>
      </c>
      <c r="B55" s="1238" t="s">
        <v>1185</v>
      </c>
      <c r="C55" s="1238"/>
      <c r="D55" s="1238"/>
      <c r="E55" s="1238"/>
      <c r="F55" s="1238"/>
      <c r="G55" s="1238"/>
      <c r="H55" s="910"/>
      <c r="I55" s="219" t="s">
        <v>1184</v>
      </c>
      <c r="J55" s="1238" t="s">
        <v>1188</v>
      </c>
      <c r="K55" s="1238"/>
      <c r="L55" s="1238"/>
      <c r="M55" s="1238"/>
      <c r="N55" s="1238"/>
      <c r="O55" s="1238"/>
      <c r="P55" s="1147"/>
    </row>
    <row r="56" spans="1:19" s="1017" customFormat="1" ht="32.25" customHeight="1">
      <c r="A56" s="1159" t="s">
        <v>1186</v>
      </c>
      <c r="B56" s="1159"/>
      <c r="C56" s="1159"/>
      <c r="D56" s="1159"/>
      <c r="E56" s="1159"/>
      <c r="F56" s="1159"/>
      <c r="G56" s="1159"/>
      <c r="H56" s="910"/>
      <c r="I56" s="1159" t="s">
        <v>1191</v>
      </c>
      <c r="J56" s="1159"/>
      <c r="K56" s="1159"/>
      <c r="L56" s="1159"/>
      <c r="M56" s="1159"/>
      <c r="N56" s="1159"/>
      <c r="O56" s="1159"/>
      <c r="P56" s="1140"/>
    </row>
    <row r="57" spans="1:19" s="1017" customFormat="1" ht="15.75">
      <c r="A57" s="1236" t="s">
        <v>1109</v>
      </c>
      <c r="B57" s="1236"/>
      <c r="C57" s="1236"/>
      <c r="D57" s="1236"/>
      <c r="E57" s="1236"/>
      <c r="F57" s="1236"/>
      <c r="G57" s="1236"/>
      <c r="H57" s="910"/>
      <c r="I57" s="1236" t="s">
        <v>1109</v>
      </c>
      <c r="J57" s="1236"/>
      <c r="K57" s="1236"/>
      <c r="L57" s="1236"/>
      <c r="M57" s="1236"/>
      <c r="N57" s="1236"/>
      <c r="O57" s="1236"/>
      <c r="P57" s="1146"/>
    </row>
    <row r="58" spans="1:19" s="1020" customFormat="1" ht="12.75" thickBot="1">
      <c r="A58" s="1019"/>
      <c r="B58" s="1019"/>
      <c r="D58" s="1019"/>
      <c r="E58" s="1019"/>
      <c r="G58" s="269" t="s">
        <v>280</v>
      </c>
      <c r="H58" s="1021"/>
      <c r="I58" s="1019"/>
      <c r="J58" s="1019"/>
      <c r="K58" s="1019"/>
      <c r="L58" s="1019"/>
      <c r="M58" s="1019"/>
      <c r="O58" s="269" t="s">
        <v>280</v>
      </c>
      <c r="P58" s="1006"/>
    </row>
    <row r="59" spans="1:19" s="1023" customFormat="1" ht="24.75" thickBot="1">
      <c r="A59" s="442" t="s">
        <v>431</v>
      </c>
      <c r="B59" s="443" t="s">
        <v>1449</v>
      </c>
      <c r="C59" s="227" t="s">
        <v>1442</v>
      </c>
      <c r="D59" s="422" t="s">
        <v>460</v>
      </c>
      <c r="E59" s="423" t="s">
        <v>461</v>
      </c>
      <c r="F59" s="423" t="s">
        <v>1450</v>
      </c>
      <c r="G59" s="1149" t="s">
        <v>18</v>
      </c>
      <c r="H59" s="1026"/>
      <c r="I59" s="442" t="s">
        <v>431</v>
      </c>
      <c r="J59" s="443" t="s">
        <v>1449</v>
      </c>
      <c r="K59" s="227" t="s">
        <v>1442</v>
      </c>
      <c r="L59" s="422" t="s">
        <v>460</v>
      </c>
      <c r="M59" s="423" t="s">
        <v>461</v>
      </c>
      <c r="N59" s="423" t="s">
        <v>1450</v>
      </c>
      <c r="O59" s="1149" t="s">
        <v>18</v>
      </c>
      <c r="P59" s="1007"/>
    </row>
    <row r="60" spans="1:19">
      <c r="A60" s="228" t="s">
        <v>432</v>
      </c>
      <c r="B60" s="229">
        <f t="shared" ref="B60:G60" si="17">+B77-B65-B64-B63-B62</f>
        <v>0</v>
      </c>
      <c r="C60" s="230">
        <f t="shared" si="17"/>
        <v>256470</v>
      </c>
      <c r="D60" s="231">
        <f t="shared" si="17"/>
        <v>0</v>
      </c>
      <c r="E60" s="232">
        <f t="shared" si="17"/>
        <v>0</v>
      </c>
      <c r="F60" s="232">
        <f t="shared" si="17"/>
        <v>0</v>
      </c>
      <c r="G60" s="233">
        <f t="shared" si="17"/>
        <v>256470</v>
      </c>
      <c r="H60" s="1024"/>
      <c r="I60" s="228" t="s">
        <v>432</v>
      </c>
      <c r="J60" s="229">
        <f t="shared" ref="J60:O60" si="18">+J77-J65-J64-J63-J62</f>
        <v>0</v>
      </c>
      <c r="K60" s="230">
        <f t="shared" si="18"/>
        <v>0</v>
      </c>
      <c r="L60" s="231">
        <f t="shared" si="18"/>
        <v>0</v>
      </c>
      <c r="M60" s="232">
        <f t="shared" si="18"/>
        <v>0</v>
      </c>
      <c r="N60" s="232">
        <f t="shared" si="18"/>
        <v>0</v>
      </c>
      <c r="O60" s="233">
        <f t="shared" si="18"/>
        <v>0</v>
      </c>
      <c r="P60" s="221"/>
    </row>
    <row r="61" spans="1:19">
      <c r="A61" s="234" t="s">
        <v>433</v>
      </c>
      <c r="B61" s="235"/>
      <c r="C61" s="236"/>
      <c r="D61" s="237"/>
      <c r="E61" s="238"/>
      <c r="F61" s="238"/>
      <c r="G61" s="239">
        <f>+B61+C61+D61+E61+F61</f>
        <v>0</v>
      </c>
      <c r="H61" s="1024"/>
      <c r="I61" s="234" t="s">
        <v>433</v>
      </c>
      <c r="J61" s="235"/>
      <c r="K61" s="236"/>
      <c r="L61" s="237"/>
      <c r="M61" s="238"/>
      <c r="N61" s="238"/>
      <c r="O61" s="239">
        <f>+J61+K61+L61+M61+N61</f>
        <v>0</v>
      </c>
      <c r="P61" s="1008"/>
      <c r="Q61" s="141"/>
    </row>
    <row r="62" spans="1:19">
      <c r="A62" s="240" t="s">
        <v>434</v>
      </c>
      <c r="B62" s="241"/>
      <c r="C62" s="242"/>
      <c r="D62" s="243"/>
      <c r="E62" s="244"/>
      <c r="F62" s="244"/>
      <c r="G62" s="245">
        <f>+B62+C62+D62+E62+F62</f>
        <v>0</v>
      </c>
      <c r="H62" s="1024"/>
      <c r="I62" s="240" t="s">
        <v>434</v>
      </c>
      <c r="J62" s="241"/>
      <c r="K62" s="242"/>
      <c r="L62" s="243"/>
      <c r="M62" s="244"/>
      <c r="N62" s="244"/>
      <c r="O62" s="245">
        <f>+J62+K62+L62+M62+N62</f>
        <v>0</v>
      </c>
      <c r="P62" s="221"/>
      <c r="Q62" s="141"/>
      <c r="R62" s="141"/>
      <c r="S62" s="141"/>
    </row>
    <row r="63" spans="1:19">
      <c r="A63" s="240" t="s">
        <v>435</v>
      </c>
      <c r="B63" s="241"/>
      <c r="C63" s="242"/>
      <c r="D63" s="243"/>
      <c r="E63" s="244"/>
      <c r="F63" s="244"/>
      <c r="G63" s="245">
        <f>+B63+C63+D63+E63+F63</f>
        <v>0</v>
      </c>
      <c r="H63" s="1024"/>
      <c r="I63" s="240" t="s">
        <v>435</v>
      </c>
      <c r="J63" s="241"/>
      <c r="K63" s="242"/>
      <c r="L63" s="243"/>
      <c r="M63" s="244"/>
      <c r="N63" s="244"/>
      <c r="O63" s="245">
        <f>+J63+K63+L63+M63+N63</f>
        <v>0</v>
      </c>
      <c r="P63" s="221"/>
      <c r="Q63" s="141"/>
    </row>
    <row r="64" spans="1:19">
      <c r="A64" s="240" t="s">
        <v>436</v>
      </c>
      <c r="B64" s="241"/>
      <c r="C64" s="242"/>
      <c r="D64" s="243"/>
      <c r="E64" s="244"/>
      <c r="F64" s="244"/>
      <c r="G64" s="245">
        <f>+B64+C64+D64+E64+F64</f>
        <v>0</v>
      </c>
      <c r="H64" s="1024"/>
      <c r="I64" s="240" t="s">
        <v>436</v>
      </c>
      <c r="J64" s="241"/>
      <c r="K64" s="242"/>
      <c r="L64" s="243"/>
      <c r="M64" s="244"/>
      <c r="N64" s="244"/>
      <c r="O64" s="245">
        <f>+J64+K64+L64+M64+N64</f>
        <v>0</v>
      </c>
      <c r="P64" s="221"/>
      <c r="Q64" s="141"/>
    </row>
    <row r="65" spans="1:19" ht="12.75" thickBot="1">
      <c r="A65" s="240" t="s">
        <v>437</v>
      </c>
      <c r="B65" s="241"/>
      <c r="C65" s="242"/>
      <c r="D65" s="243"/>
      <c r="E65" s="244"/>
      <c r="F65" s="244"/>
      <c r="G65" s="245">
        <f>+B65+C65+D65+E65+F65</f>
        <v>0</v>
      </c>
      <c r="H65" s="1024"/>
      <c r="I65" s="240" t="s">
        <v>437</v>
      </c>
      <c r="J65" s="241"/>
      <c r="K65" s="242"/>
      <c r="L65" s="243"/>
      <c r="M65" s="244"/>
      <c r="N65" s="244"/>
      <c r="O65" s="245">
        <f>+J65+K65+L65+M65+N65</f>
        <v>0</v>
      </c>
      <c r="P65" s="221"/>
      <c r="Q65" s="141"/>
    </row>
    <row r="66" spans="1:19" ht="12.75" thickBot="1">
      <c r="A66" s="220" t="s">
        <v>438</v>
      </c>
      <c r="B66" s="246">
        <f t="shared" ref="B66:G66" si="19">+B60+B62+B63+B64+B65</f>
        <v>0</v>
      </c>
      <c r="C66" s="247">
        <f t="shared" si="19"/>
        <v>256470</v>
      </c>
      <c r="D66" s="248">
        <f t="shared" si="19"/>
        <v>0</v>
      </c>
      <c r="E66" s="246">
        <f t="shared" si="19"/>
        <v>0</v>
      </c>
      <c r="F66" s="246">
        <f t="shared" si="19"/>
        <v>0</v>
      </c>
      <c r="G66" s="247">
        <f t="shared" si="19"/>
        <v>256470</v>
      </c>
      <c r="H66" s="1024"/>
      <c r="I66" s="220" t="s">
        <v>438</v>
      </c>
      <c r="J66" s="246">
        <f t="shared" ref="J66:O66" si="20">+J60+J62+J63+J64+J65</f>
        <v>0</v>
      </c>
      <c r="K66" s="247">
        <f t="shared" si="20"/>
        <v>0</v>
      </c>
      <c r="L66" s="248">
        <f t="shared" si="20"/>
        <v>0</v>
      </c>
      <c r="M66" s="246">
        <f t="shared" si="20"/>
        <v>0</v>
      </c>
      <c r="N66" s="246">
        <f t="shared" si="20"/>
        <v>0</v>
      </c>
      <c r="O66" s="247">
        <f t="shared" si="20"/>
        <v>0</v>
      </c>
      <c r="P66" s="221"/>
    </row>
    <row r="67" spans="1:19" ht="12.75" thickBot="1">
      <c r="A67" s="249"/>
      <c r="B67" s="249"/>
      <c r="C67" s="249"/>
      <c r="D67" s="249"/>
      <c r="E67" s="249"/>
      <c r="F67" s="249"/>
      <c r="G67" s="249"/>
      <c r="H67" s="1024"/>
      <c r="I67" s="249"/>
      <c r="J67" s="249"/>
      <c r="K67" s="249"/>
      <c r="L67" s="249"/>
      <c r="M67" s="249"/>
      <c r="N67" s="249"/>
      <c r="O67" s="249"/>
      <c r="P67" s="249"/>
    </row>
    <row r="68" spans="1:19" s="1023" customFormat="1" ht="24.75" thickBot="1">
      <c r="A68" s="442" t="s">
        <v>439</v>
      </c>
      <c r="B68" s="443" t="s">
        <v>1449</v>
      </c>
      <c r="C68" s="227" t="s">
        <v>1442</v>
      </c>
      <c r="D68" s="422" t="s">
        <v>460</v>
      </c>
      <c r="E68" s="423" t="s">
        <v>461</v>
      </c>
      <c r="F68" s="423" t="s">
        <v>1450</v>
      </c>
      <c r="G68" s="1149" t="s">
        <v>18</v>
      </c>
      <c r="H68" s="1026"/>
      <c r="I68" s="442" t="s">
        <v>439</v>
      </c>
      <c r="J68" s="443" t="s">
        <v>1449</v>
      </c>
      <c r="K68" s="227" t="s">
        <v>1442</v>
      </c>
      <c r="L68" s="422" t="s">
        <v>460</v>
      </c>
      <c r="M68" s="423" t="s">
        <v>461</v>
      </c>
      <c r="N68" s="423" t="s">
        <v>1450</v>
      </c>
      <c r="O68" s="1149" t="s">
        <v>18</v>
      </c>
      <c r="P68" s="1007"/>
    </row>
    <row r="69" spans="1:19">
      <c r="A69" s="228" t="s">
        <v>445</v>
      </c>
      <c r="B69" s="229"/>
      <c r="C69" s="230"/>
      <c r="D69" s="231"/>
      <c r="E69" s="232"/>
      <c r="F69" s="232"/>
      <c r="G69" s="233">
        <f t="shared" ref="G69:G76" si="21">+B69+C69+D69+E69+F69</f>
        <v>0</v>
      </c>
      <c r="H69" s="1024"/>
      <c r="I69" s="228" t="s">
        <v>445</v>
      </c>
      <c r="J69" s="229"/>
      <c r="K69" s="230"/>
      <c r="L69" s="231"/>
      <c r="M69" s="232"/>
      <c r="N69" s="232"/>
      <c r="O69" s="233">
        <f t="shared" ref="O69:O76" si="22">+J69+K69+L69+M69+N69</f>
        <v>0</v>
      </c>
      <c r="P69" s="221"/>
      <c r="Q69" s="141"/>
      <c r="R69" s="141"/>
      <c r="S69" s="141"/>
    </row>
    <row r="70" spans="1:19">
      <c r="A70" s="250" t="s">
        <v>446</v>
      </c>
      <c r="B70" s="241"/>
      <c r="C70" s="242"/>
      <c r="D70" s="243"/>
      <c r="E70" s="244"/>
      <c r="F70" s="244"/>
      <c r="G70" s="245">
        <f t="shared" si="21"/>
        <v>0</v>
      </c>
      <c r="H70" s="1024"/>
      <c r="I70" s="250" t="s">
        <v>446</v>
      </c>
      <c r="J70" s="241"/>
      <c r="K70" s="242"/>
      <c r="L70" s="243"/>
      <c r="M70" s="244"/>
      <c r="N70" s="244"/>
      <c r="O70" s="245">
        <f t="shared" si="22"/>
        <v>0</v>
      </c>
      <c r="P70" s="221"/>
      <c r="Q70" s="141"/>
      <c r="R70" s="141"/>
      <c r="S70" s="141"/>
    </row>
    <row r="71" spans="1:19">
      <c r="A71" s="240" t="s">
        <v>447</v>
      </c>
      <c r="B71" s="241"/>
      <c r="C71" s="242"/>
      <c r="D71" s="243"/>
      <c r="E71" s="244"/>
      <c r="F71" s="244"/>
      <c r="G71" s="245">
        <f t="shared" si="21"/>
        <v>0</v>
      </c>
      <c r="H71" s="1024"/>
      <c r="I71" s="240" t="s">
        <v>447</v>
      </c>
      <c r="J71" s="241"/>
      <c r="K71" s="242"/>
      <c r="L71" s="243"/>
      <c r="M71" s="244"/>
      <c r="N71" s="244"/>
      <c r="O71" s="245">
        <f t="shared" si="22"/>
        <v>0</v>
      </c>
      <c r="P71" s="221"/>
      <c r="Q71" s="141"/>
      <c r="R71" s="141"/>
      <c r="S71" s="141"/>
    </row>
    <row r="72" spans="1:19">
      <c r="A72" s="240" t="s">
        <v>448</v>
      </c>
      <c r="B72" s="241"/>
      <c r="C72" s="242"/>
      <c r="D72" s="243"/>
      <c r="E72" s="244"/>
      <c r="F72" s="244"/>
      <c r="G72" s="245">
        <f t="shared" si="21"/>
        <v>0</v>
      </c>
      <c r="H72" s="1024"/>
      <c r="I72" s="240" t="s">
        <v>448</v>
      </c>
      <c r="J72" s="241"/>
      <c r="K72" s="242"/>
      <c r="L72" s="243"/>
      <c r="M72" s="244"/>
      <c r="N72" s="244"/>
      <c r="O72" s="245">
        <f t="shared" si="22"/>
        <v>0</v>
      </c>
      <c r="P72" s="221"/>
      <c r="Q72" s="141"/>
      <c r="S72" s="141"/>
    </row>
    <row r="73" spans="1:19">
      <c r="A73" s="251" t="s">
        <v>449</v>
      </c>
      <c r="B73" s="252"/>
      <c r="C73" s="242">
        <v>256470</v>
      </c>
      <c r="D73" s="243"/>
      <c r="E73" s="244"/>
      <c r="F73" s="244"/>
      <c r="G73" s="245">
        <f t="shared" si="21"/>
        <v>256470</v>
      </c>
      <c r="H73" s="1024"/>
      <c r="I73" s="251" t="s">
        <v>449</v>
      </c>
      <c r="J73" s="252"/>
      <c r="K73" s="242"/>
      <c r="L73" s="243"/>
      <c r="M73" s="244"/>
      <c r="N73" s="244"/>
      <c r="O73" s="245">
        <f t="shared" si="22"/>
        <v>0</v>
      </c>
      <c r="P73" s="221"/>
      <c r="Q73" s="141"/>
      <c r="R73" s="141"/>
      <c r="S73" s="141"/>
    </row>
    <row r="74" spans="1:19">
      <c r="A74" s="251" t="s">
        <v>450</v>
      </c>
      <c r="B74" s="252"/>
      <c r="C74" s="242"/>
      <c r="D74" s="243"/>
      <c r="E74" s="244"/>
      <c r="F74" s="244"/>
      <c r="G74" s="245">
        <f t="shared" si="21"/>
        <v>0</v>
      </c>
      <c r="H74" s="1024"/>
      <c r="I74" s="251" t="s">
        <v>450</v>
      </c>
      <c r="J74" s="252"/>
      <c r="K74" s="242"/>
      <c r="L74" s="243"/>
      <c r="M74" s="244"/>
      <c r="N74" s="244"/>
      <c r="O74" s="245">
        <f t="shared" si="22"/>
        <v>0</v>
      </c>
      <c r="P74" s="221"/>
      <c r="Q74" s="141"/>
      <c r="R74" s="141"/>
      <c r="S74" s="141"/>
    </row>
    <row r="75" spans="1:19">
      <c r="A75" s="253" t="s">
        <v>451</v>
      </c>
      <c r="B75" s="254"/>
      <c r="C75" s="255"/>
      <c r="D75" s="256"/>
      <c r="E75" s="257"/>
      <c r="F75" s="257"/>
      <c r="G75" s="245">
        <f t="shared" si="21"/>
        <v>0</v>
      </c>
      <c r="H75" s="1024"/>
      <c r="I75" s="253" t="s">
        <v>451</v>
      </c>
      <c r="J75" s="254"/>
      <c r="K75" s="255"/>
      <c r="L75" s="256"/>
      <c r="M75" s="257"/>
      <c r="N75" s="257"/>
      <c r="O75" s="245">
        <f t="shared" si="22"/>
        <v>0</v>
      </c>
      <c r="P75" s="221"/>
      <c r="Q75" s="141"/>
      <c r="R75" s="141"/>
      <c r="S75" s="141"/>
    </row>
    <row r="76" spans="1:19" ht="12.75" thickBot="1">
      <c r="A76" s="253" t="s">
        <v>452</v>
      </c>
      <c r="B76" s="254"/>
      <c r="C76" s="255"/>
      <c r="D76" s="256"/>
      <c r="E76" s="257"/>
      <c r="F76" s="257"/>
      <c r="G76" s="245">
        <f t="shared" si="21"/>
        <v>0</v>
      </c>
      <c r="H76" s="1024"/>
      <c r="I76" s="253" t="s">
        <v>452</v>
      </c>
      <c r="J76" s="254"/>
      <c r="K76" s="255"/>
      <c r="L76" s="256"/>
      <c r="M76" s="257"/>
      <c r="N76" s="257"/>
      <c r="O76" s="245">
        <f t="shared" si="22"/>
        <v>0</v>
      </c>
      <c r="P76" s="221"/>
      <c r="Q76" s="141"/>
      <c r="R76" s="141"/>
      <c r="S76" s="141"/>
    </row>
    <row r="77" spans="1:19" ht="12.75" thickBot="1">
      <c r="A77" s="220" t="s">
        <v>453</v>
      </c>
      <c r="B77" s="246">
        <f t="shared" ref="B77:G77" si="23">+B69+B70+B71+B72+B73+B74+B75+B76</f>
        <v>0</v>
      </c>
      <c r="C77" s="247">
        <f t="shared" si="23"/>
        <v>256470</v>
      </c>
      <c r="D77" s="248">
        <f t="shared" si="23"/>
        <v>0</v>
      </c>
      <c r="E77" s="246">
        <f t="shared" si="23"/>
        <v>0</v>
      </c>
      <c r="F77" s="246">
        <f t="shared" si="23"/>
        <v>0</v>
      </c>
      <c r="G77" s="247">
        <f t="shared" si="23"/>
        <v>256470</v>
      </c>
      <c r="I77" s="220" t="s">
        <v>453</v>
      </c>
      <c r="J77" s="246">
        <f t="shared" ref="J77:O77" si="24">+J69+J70+J71+J72+J73+J74+J75+J76</f>
        <v>0</v>
      </c>
      <c r="K77" s="247">
        <f t="shared" si="24"/>
        <v>0</v>
      </c>
      <c r="L77" s="248">
        <f t="shared" si="24"/>
        <v>0</v>
      </c>
      <c r="M77" s="246">
        <f t="shared" si="24"/>
        <v>0</v>
      </c>
      <c r="N77" s="246">
        <f t="shared" si="24"/>
        <v>0</v>
      </c>
      <c r="O77" s="247">
        <f t="shared" si="24"/>
        <v>0</v>
      </c>
      <c r="P77" s="221"/>
      <c r="R77" s="1024"/>
    </row>
    <row r="78" spans="1:19">
      <c r="A78" s="221"/>
      <c r="B78" s="221"/>
      <c r="C78" s="221"/>
      <c r="D78" s="221"/>
      <c r="E78" s="221"/>
      <c r="F78" s="221"/>
      <c r="G78" s="221"/>
      <c r="H78" s="1024"/>
      <c r="I78" s="221"/>
      <c r="J78" s="221"/>
      <c r="K78" s="221"/>
      <c r="L78" s="221"/>
      <c r="M78" s="221"/>
      <c r="N78" s="221"/>
      <c r="O78" s="221"/>
      <c r="P78" s="221"/>
    </row>
    <row r="79" spans="1:19">
      <c r="A79" s="221"/>
      <c r="B79" s="221"/>
      <c r="C79" s="221"/>
      <c r="D79" s="221"/>
      <c r="E79" s="221"/>
      <c r="F79" s="221"/>
      <c r="G79" s="221"/>
      <c r="H79" s="1024"/>
      <c r="I79" s="221"/>
      <c r="J79" s="221"/>
      <c r="K79" s="221"/>
      <c r="L79" s="221"/>
      <c r="M79" s="221"/>
      <c r="N79" s="221"/>
      <c r="O79" s="221"/>
      <c r="P79" s="221"/>
    </row>
    <row r="80" spans="1:19" s="1017" customFormat="1" ht="15.75">
      <c r="A80" s="219" t="s">
        <v>1187</v>
      </c>
      <c r="B80" s="1238" t="s">
        <v>1190</v>
      </c>
      <c r="C80" s="1238"/>
      <c r="D80" s="1238"/>
      <c r="E80" s="1238"/>
      <c r="F80" s="1238"/>
      <c r="G80" s="1238"/>
      <c r="H80" s="910"/>
      <c r="I80" s="219" t="s">
        <v>1189</v>
      </c>
      <c r="J80" s="1238" t="s">
        <v>1194</v>
      </c>
      <c r="K80" s="1238"/>
      <c r="L80" s="1238"/>
      <c r="M80" s="1238"/>
      <c r="N80" s="1238"/>
      <c r="O80" s="1238"/>
      <c r="P80" s="1147"/>
    </row>
    <row r="81" spans="1:19" s="1017" customFormat="1" ht="15.75" customHeight="1">
      <c r="A81" s="1159" t="s">
        <v>1192</v>
      </c>
      <c r="B81" s="1159"/>
      <c r="C81" s="1159"/>
      <c r="D81" s="1159"/>
      <c r="E81" s="1159"/>
      <c r="F81" s="1159"/>
      <c r="G81" s="1159"/>
      <c r="H81" s="910"/>
      <c r="I81" s="1159" t="s">
        <v>1197</v>
      </c>
      <c r="J81" s="1159"/>
      <c r="K81" s="1159"/>
      <c r="L81" s="1159"/>
      <c r="M81" s="1159"/>
      <c r="N81" s="1159"/>
      <c r="O81" s="1159"/>
      <c r="P81" s="1140"/>
    </row>
    <row r="82" spans="1:19" s="1017" customFormat="1" ht="15.75">
      <c r="A82" s="1236" t="s">
        <v>1109</v>
      </c>
      <c r="B82" s="1236"/>
      <c r="C82" s="1236"/>
      <c r="D82" s="1236"/>
      <c r="E82" s="1236"/>
      <c r="F82" s="1236"/>
      <c r="G82" s="1236"/>
      <c r="H82" s="910"/>
      <c r="I82" s="1236" t="s">
        <v>1109</v>
      </c>
      <c r="J82" s="1236"/>
      <c r="K82" s="1236"/>
      <c r="L82" s="1236"/>
      <c r="M82" s="1236"/>
      <c r="N82" s="1236"/>
      <c r="O82" s="1236"/>
      <c r="P82" s="1146"/>
    </row>
    <row r="83" spans="1:19" s="1020" customFormat="1" ht="12.75" thickBot="1">
      <c r="A83" s="1019"/>
      <c r="B83" s="1019"/>
      <c r="D83" s="1019"/>
      <c r="E83" s="1019"/>
      <c r="G83" s="269" t="s">
        <v>280</v>
      </c>
      <c r="H83" s="1021"/>
      <c r="I83" s="1019"/>
      <c r="J83" s="1019"/>
      <c r="K83" s="1019"/>
      <c r="L83" s="1019"/>
      <c r="M83" s="1019"/>
      <c r="O83" s="269" t="s">
        <v>280</v>
      </c>
      <c r="P83" s="1006"/>
    </row>
    <row r="84" spans="1:19" s="1023" customFormat="1" ht="24.75" thickBot="1">
      <c r="A84" s="442" t="s">
        <v>431</v>
      </c>
      <c r="B84" s="443" t="s">
        <v>1449</v>
      </c>
      <c r="C84" s="227" t="s">
        <v>1442</v>
      </c>
      <c r="D84" s="422" t="s">
        <v>460</v>
      </c>
      <c r="E84" s="423" t="s">
        <v>461</v>
      </c>
      <c r="F84" s="423" t="s">
        <v>1450</v>
      </c>
      <c r="G84" s="1149" t="s">
        <v>18</v>
      </c>
      <c r="H84" s="1026"/>
      <c r="I84" s="442" t="s">
        <v>431</v>
      </c>
      <c r="J84" s="443" t="s">
        <v>1449</v>
      </c>
      <c r="K84" s="227" t="s">
        <v>1442</v>
      </c>
      <c r="L84" s="422" t="s">
        <v>460</v>
      </c>
      <c r="M84" s="423" t="s">
        <v>461</v>
      </c>
      <c r="N84" s="423" t="s">
        <v>1450</v>
      </c>
      <c r="O84" s="1149" t="s">
        <v>18</v>
      </c>
      <c r="P84" s="1007"/>
    </row>
    <row r="85" spans="1:19">
      <c r="A85" s="228" t="s">
        <v>432</v>
      </c>
      <c r="B85" s="229">
        <f t="shared" ref="B85:G85" si="25">+B102-B90-B89-B88-B87</f>
        <v>0</v>
      </c>
      <c r="C85" s="230">
        <f t="shared" si="25"/>
        <v>69873</v>
      </c>
      <c r="D85" s="231">
        <f t="shared" si="25"/>
        <v>0</v>
      </c>
      <c r="E85" s="232">
        <f t="shared" si="25"/>
        <v>0</v>
      </c>
      <c r="F85" s="232">
        <f t="shared" si="25"/>
        <v>0</v>
      </c>
      <c r="G85" s="233">
        <f t="shared" si="25"/>
        <v>69873</v>
      </c>
      <c r="H85" s="1024"/>
      <c r="I85" s="228" t="s">
        <v>432</v>
      </c>
      <c r="J85" s="229">
        <f t="shared" ref="J85:O85" si="26">+J102-J90-J89-J88-J87</f>
        <v>0</v>
      </c>
      <c r="K85" s="230">
        <f t="shared" si="26"/>
        <v>0</v>
      </c>
      <c r="L85" s="231">
        <f t="shared" si="26"/>
        <v>0</v>
      </c>
      <c r="M85" s="232">
        <f t="shared" si="26"/>
        <v>0</v>
      </c>
      <c r="N85" s="232">
        <f t="shared" si="26"/>
        <v>0</v>
      </c>
      <c r="O85" s="233">
        <f t="shared" si="26"/>
        <v>0</v>
      </c>
      <c r="P85" s="221"/>
    </row>
    <row r="86" spans="1:19">
      <c r="A86" s="234" t="s">
        <v>433</v>
      </c>
      <c r="B86" s="235"/>
      <c r="C86" s="236"/>
      <c r="D86" s="237"/>
      <c r="E86" s="238"/>
      <c r="F86" s="238"/>
      <c r="G86" s="239">
        <f>+B86+C86+D86+E86+F86</f>
        <v>0</v>
      </c>
      <c r="H86" s="1024"/>
      <c r="I86" s="234" t="s">
        <v>433</v>
      </c>
      <c r="J86" s="235"/>
      <c r="K86" s="236"/>
      <c r="L86" s="237"/>
      <c r="M86" s="238"/>
      <c r="N86" s="238"/>
      <c r="O86" s="239">
        <f>+J86+K86+L86+M86+N86</f>
        <v>0</v>
      </c>
      <c r="P86" s="1008"/>
      <c r="Q86" s="141"/>
    </row>
    <row r="87" spans="1:19">
      <c r="A87" s="240" t="s">
        <v>434</v>
      </c>
      <c r="B87" s="241"/>
      <c r="C87" s="242"/>
      <c r="D87" s="243"/>
      <c r="E87" s="244"/>
      <c r="F87" s="244"/>
      <c r="G87" s="245">
        <f>+B87+C87+D87+E87+F87</f>
        <v>0</v>
      </c>
      <c r="H87" s="1024"/>
      <c r="I87" s="240" t="s">
        <v>434</v>
      </c>
      <c r="J87" s="241"/>
      <c r="K87" s="242"/>
      <c r="L87" s="243"/>
      <c r="M87" s="244"/>
      <c r="N87" s="244"/>
      <c r="O87" s="245">
        <f>+J87+K87+L87+M87+N87</f>
        <v>0</v>
      </c>
      <c r="P87" s="221"/>
      <c r="Q87" s="141"/>
      <c r="R87" s="141"/>
      <c r="S87" s="141"/>
    </row>
    <row r="88" spans="1:19">
      <c r="A88" s="240" t="s">
        <v>435</v>
      </c>
      <c r="B88" s="241"/>
      <c r="C88" s="242"/>
      <c r="D88" s="243"/>
      <c r="E88" s="244"/>
      <c r="F88" s="244"/>
      <c r="G88" s="245">
        <f>+B88+C88+D88+E88+F88</f>
        <v>0</v>
      </c>
      <c r="H88" s="1024"/>
      <c r="I88" s="240" t="s">
        <v>435</v>
      </c>
      <c r="J88" s="241"/>
      <c r="K88" s="242"/>
      <c r="L88" s="243"/>
      <c r="M88" s="244"/>
      <c r="N88" s="244"/>
      <c r="O88" s="245">
        <f>+J88+K88+L88+M88+N88</f>
        <v>0</v>
      </c>
      <c r="P88" s="221"/>
      <c r="Q88" s="141"/>
    </row>
    <row r="89" spans="1:19">
      <c r="A89" s="240" t="s">
        <v>436</v>
      </c>
      <c r="B89" s="241"/>
      <c r="C89" s="242"/>
      <c r="D89" s="243"/>
      <c r="E89" s="244"/>
      <c r="F89" s="244"/>
      <c r="G89" s="245">
        <f>+B89+C89+D89+E89+F89</f>
        <v>0</v>
      </c>
      <c r="H89" s="1024"/>
      <c r="I89" s="240" t="s">
        <v>436</v>
      </c>
      <c r="J89" s="241"/>
      <c r="K89" s="242"/>
      <c r="L89" s="243"/>
      <c r="M89" s="244"/>
      <c r="N89" s="244"/>
      <c r="O89" s="245">
        <f>+J89+K89+L89+M89+N89</f>
        <v>0</v>
      </c>
      <c r="P89" s="221"/>
      <c r="Q89" s="141"/>
    </row>
    <row r="90" spans="1:19" ht="12.75" thickBot="1">
      <c r="A90" s="240" t="s">
        <v>437</v>
      </c>
      <c r="B90" s="241"/>
      <c r="C90" s="242"/>
      <c r="D90" s="243"/>
      <c r="E90" s="244"/>
      <c r="F90" s="244"/>
      <c r="G90" s="245">
        <f>+B90+C90+D90+E90+F90</f>
        <v>0</v>
      </c>
      <c r="H90" s="1024"/>
      <c r="I90" s="240" t="s">
        <v>437</v>
      </c>
      <c r="J90" s="241"/>
      <c r="K90" s="242"/>
      <c r="L90" s="243"/>
      <c r="M90" s="244"/>
      <c r="N90" s="244"/>
      <c r="O90" s="245">
        <f>+J90+K90+L90+M90+N90</f>
        <v>0</v>
      </c>
      <c r="P90" s="221"/>
      <c r="Q90" s="141"/>
    </row>
    <row r="91" spans="1:19" ht="12.75" thickBot="1">
      <c r="A91" s="220" t="s">
        <v>438</v>
      </c>
      <c r="B91" s="246">
        <f t="shared" ref="B91:G91" si="27">+B85+B87+B88+B89+B90</f>
        <v>0</v>
      </c>
      <c r="C91" s="247">
        <f t="shared" si="27"/>
        <v>69873</v>
      </c>
      <c r="D91" s="248">
        <f t="shared" si="27"/>
        <v>0</v>
      </c>
      <c r="E91" s="246">
        <f t="shared" si="27"/>
        <v>0</v>
      </c>
      <c r="F91" s="246">
        <f t="shared" si="27"/>
        <v>0</v>
      </c>
      <c r="G91" s="247">
        <f t="shared" si="27"/>
        <v>69873</v>
      </c>
      <c r="H91" s="1024"/>
      <c r="I91" s="220" t="s">
        <v>438</v>
      </c>
      <c r="J91" s="246">
        <f t="shared" ref="J91:O91" si="28">+J85+J87+J88+J89+J90</f>
        <v>0</v>
      </c>
      <c r="K91" s="247">
        <f t="shared" si="28"/>
        <v>0</v>
      </c>
      <c r="L91" s="248">
        <f t="shared" si="28"/>
        <v>0</v>
      </c>
      <c r="M91" s="246">
        <f t="shared" si="28"/>
        <v>0</v>
      </c>
      <c r="N91" s="246">
        <f t="shared" si="28"/>
        <v>0</v>
      </c>
      <c r="O91" s="247">
        <f t="shared" si="28"/>
        <v>0</v>
      </c>
      <c r="P91" s="221"/>
    </row>
    <row r="92" spans="1:19" ht="12.75" thickBot="1">
      <c r="A92" s="249"/>
      <c r="B92" s="249"/>
      <c r="C92" s="249"/>
      <c r="D92" s="249"/>
      <c r="E92" s="249"/>
      <c r="F92" s="249"/>
      <c r="G92" s="249"/>
      <c r="H92" s="1024"/>
      <c r="I92" s="249"/>
      <c r="J92" s="249"/>
      <c r="K92" s="249"/>
      <c r="L92" s="249"/>
      <c r="M92" s="249"/>
      <c r="N92" s="249"/>
      <c r="O92" s="249"/>
      <c r="P92" s="249"/>
    </row>
    <row r="93" spans="1:19" s="1023" customFormat="1" ht="24.75" thickBot="1">
      <c r="A93" s="442" t="s">
        <v>439</v>
      </c>
      <c r="B93" s="443" t="s">
        <v>1449</v>
      </c>
      <c r="C93" s="227" t="s">
        <v>1442</v>
      </c>
      <c r="D93" s="422" t="s">
        <v>460</v>
      </c>
      <c r="E93" s="423" t="s">
        <v>461</v>
      </c>
      <c r="F93" s="423" t="s">
        <v>1450</v>
      </c>
      <c r="G93" s="1149" t="s">
        <v>18</v>
      </c>
      <c r="H93" s="1026"/>
      <c r="I93" s="442" t="s">
        <v>439</v>
      </c>
      <c r="J93" s="443" t="s">
        <v>1449</v>
      </c>
      <c r="K93" s="227" t="s">
        <v>1442</v>
      </c>
      <c r="L93" s="422" t="s">
        <v>460</v>
      </c>
      <c r="M93" s="423" t="s">
        <v>461</v>
      </c>
      <c r="N93" s="423" t="s">
        <v>1450</v>
      </c>
      <c r="O93" s="1149" t="s">
        <v>18</v>
      </c>
      <c r="P93" s="1007"/>
    </row>
    <row r="94" spans="1:19">
      <c r="A94" s="228" t="s">
        <v>445</v>
      </c>
      <c r="B94" s="229"/>
      <c r="C94" s="230"/>
      <c r="D94" s="231"/>
      <c r="E94" s="232"/>
      <c r="F94" s="232"/>
      <c r="G94" s="233">
        <f t="shared" ref="G94:G101" si="29">+B94+C94+D94+E94+F94</f>
        <v>0</v>
      </c>
      <c r="H94" s="1024"/>
      <c r="I94" s="228" t="s">
        <v>445</v>
      </c>
      <c r="J94" s="229"/>
      <c r="K94" s="230"/>
      <c r="L94" s="231"/>
      <c r="M94" s="232"/>
      <c r="N94" s="232"/>
      <c r="O94" s="233">
        <f t="shared" ref="O94:O101" si="30">+J94+K94+L94+M94+N94</f>
        <v>0</v>
      </c>
      <c r="P94" s="221"/>
      <c r="Q94" s="141"/>
      <c r="R94" s="141"/>
      <c r="S94" s="141"/>
    </row>
    <row r="95" spans="1:19">
      <c r="A95" s="250" t="s">
        <v>446</v>
      </c>
      <c r="B95" s="241"/>
      <c r="C95" s="242"/>
      <c r="D95" s="243"/>
      <c r="E95" s="244"/>
      <c r="F95" s="244"/>
      <c r="G95" s="245">
        <f t="shared" si="29"/>
        <v>0</v>
      </c>
      <c r="H95" s="1024"/>
      <c r="I95" s="250" t="s">
        <v>446</v>
      </c>
      <c r="J95" s="241"/>
      <c r="K95" s="242"/>
      <c r="L95" s="243"/>
      <c r="M95" s="244"/>
      <c r="N95" s="244"/>
      <c r="O95" s="245">
        <f t="shared" si="30"/>
        <v>0</v>
      </c>
      <c r="P95" s="221"/>
      <c r="Q95" s="141"/>
      <c r="R95" s="141"/>
      <c r="S95" s="141"/>
    </row>
    <row r="96" spans="1:19">
      <c r="A96" s="240" t="s">
        <v>447</v>
      </c>
      <c r="B96" s="241"/>
      <c r="C96" s="242"/>
      <c r="D96" s="243"/>
      <c r="E96" s="244"/>
      <c r="F96" s="244"/>
      <c r="G96" s="245">
        <f t="shared" si="29"/>
        <v>0</v>
      </c>
      <c r="H96" s="1024"/>
      <c r="I96" s="240" t="s">
        <v>447</v>
      </c>
      <c r="J96" s="241"/>
      <c r="K96" s="242"/>
      <c r="L96" s="243"/>
      <c r="M96" s="244"/>
      <c r="N96" s="244"/>
      <c r="O96" s="245">
        <f t="shared" si="30"/>
        <v>0</v>
      </c>
      <c r="P96" s="221"/>
      <c r="Q96" s="141"/>
      <c r="R96" s="141"/>
      <c r="S96" s="141"/>
    </row>
    <row r="97" spans="1:19">
      <c r="A97" s="240" t="s">
        <v>448</v>
      </c>
      <c r="B97" s="241"/>
      <c r="C97" s="242"/>
      <c r="D97" s="243"/>
      <c r="E97" s="244"/>
      <c r="F97" s="244"/>
      <c r="G97" s="245">
        <f t="shared" si="29"/>
        <v>0</v>
      </c>
      <c r="H97" s="1024"/>
      <c r="I97" s="240" t="s">
        <v>448</v>
      </c>
      <c r="J97" s="241"/>
      <c r="K97" s="242"/>
      <c r="L97" s="243"/>
      <c r="M97" s="244"/>
      <c r="N97" s="244"/>
      <c r="O97" s="245">
        <f t="shared" si="30"/>
        <v>0</v>
      </c>
      <c r="P97" s="221"/>
      <c r="Q97" s="141"/>
      <c r="S97" s="141"/>
    </row>
    <row r="98" spans="1:19">
      <c r="A98" s="251" t="s">
        <v>449</v>
      </c>
      <c r="B98" s="252"/>
      <c r="C98" s="242">
        <v>69873</v>
      </c>
      <c r="D98" s="243"/>
      <c r="E98" s="244"/>
      <c r="F98" s="244"/>
      <c r="G98" s="245">
        <f t="shared" si="29"/>
        <v>69873</v>
      </c>
      <c r="H98" s="1024"/>
      <c r="I98" s="251" t="s">
        <v>449</v>
      </c>
      <c r="J98" s="252"/>
      <c r="K98" s="242"/>
      <c r="L98" s="243"/>
      <c r="M98" s="244"/>
      <c r="N98" s="244"/>
      <c r="O98" s="245">
        <f t="shared" si="30"/>
        <v>0</v>
      </c>
      <c r="P98" s="221"/>
      <c r="Q98" s="141"/>
      <c r="R98" s="141"/>
      <c r="S98" s="141"/>
    </row>
    <row r="99" spans="1:19">
      <c r="A99" s="251" t="s">
        <v>450</v>
      </c>
      <c r="B99" s="252"/>
      <c r="C99" s="242"/>
      <c r="D99" s="243"/>
      <c r="E99" s="244"/>
      <c r="F99" s="244"/>
      <c r="G99" s="245">
        <f t="shared" si="29"/>
        <v>0</v>
      </c>
      <c r="H99" s="1024"/>
      <c r="I99" s="251" t="s">
        <v>450</v>
      </c>
      <c r="J99" s="252"/>
      <c r="K99" s="242"/>
      <c r="L99" s="243"/>
      <c r="M99" s="244"/>
      <c r="N99" s="244"/>
      <c r="O99" s="245">
        <f t="shared" si="30"/>
        <v>0</v>
      </c>
      <c r="P99" s="221"/>
      <c r="Q99" s="141"/>
      <c r="R99" s="141"/>
      <c r="S99" s="141"/>
    </row>
    <row r="100" spans="1:19">
      <c r="A100" s="253" t="s">
        <v>451</v>
      </c>
      <c r="B100" s="254"/>
      <c r="C100" s="255"/>
      <c r="D100" s="256"/>
      <c r="E100" s="257"/>
      <c r="F100" s="257"/>
      <c r="G100" s="245">
        <f t="shared" si="29"/>
        <v>0</v>
      </c>
      <c r="H100" s="1024"/>
      <c r="I100" s="253" t="s">
        <v>451</v>
      </c>
      <c r="J100" s="254"/>
      <c r="K100" s="255"/>
      <c r="L100" s="243"/>
      <c r="M100" s="257"/>
      <c r="N100" s="257"/>
      <c r="O100" s="245">
        <f t="shared" si="30"/>
        <v>0</v>
      </c>
      <c r="P100" s="221"/>
      <c r="Q100" s="141"/>
      <c r="R100" s="141"/>
      <c r="S100" s="141"/>
    </row>
    <row r="101" spans="1:19" ht="12.75" thickBot="1">
      <c r="A101" s="253" t="s">
        <v>452</v>
      </c>
      <c r="B101" s="254"/>
      <c r="C101" s="255"/>
      <c r="D101" s="256"/>
      <c r="E101" s="257"/>
      <c r="F101" s="257"/>
      <c r="G101" s="245">
        <f t="shared" si="29"/>
        <v>0</v>
      </c>
      <c r="H101" s="1024"/>
      <c r="I101" s="253" t="s">
        <v>452</v>
      </c>
      <c r="J101" s="254"/>
      <c r="K101" s="255"/>
      <c r="L101" s="256"/>
      <c r="M101" s="257"/>
      <c r="N101" s="257"/>
      <c r="O101" s="245">
        <f t="shared" si="30"/>
        <v>0</v>
      </c>
      <c r="P101" s="221"/>
      <c r="Q101" s="141"/>
      <c r="R101" s="141"/>
      <c r="S101" s="141"/>
    </row>
    <row r="102" spans="1:19" ht="12.75" thickBot="1">
      <c r="A102" s="220" t="s">
        <v>453</v>
      </c>
      <c r="B102" s="246">
        <f t="shared" ref="B102:G102" si="31">+B94+B95+B96+B97+B98+B99+B100+B101</f>
        <v>0</v>
      </c>
      <c r="C102" s="247">
        <f t="shared" si="31"/>
        <v>69873</v>
      </c>
      <c r="D102" s="248">
        <f t="shared" si="31"/>
        <v>0</v>
      </c>
      <c r="E102" s="246">
        <f t="shared" si="31"/>
        <v>0</v>
      </c>
      <c r="F102" s="246">
        <f t="shared" si="31"/>
        <v>0</v>
      </c>
      <c r="G102" s="247">
        <f t="shared" si="31"/>
        <v>69873</v>
      </c>
      <c r="I102" s="220" t="s">
        <v>453</v>
      </c>
      <c r="J102" s="246">
        <f t="shared" ref="J102:O102" si="32">+J94+J95+J96+J97+J98+J99+J100+J101</f>
        <v>0</v>
      </c>
      <c r="K102" s="247">
        <f t="shared" si="32"/>
        <v>0</v>
      </c>
      <c r="L102" s="248">
        <f t="shared" si="32"/>
        <v>0</v>
      </c>
      <c r="M102" s="246">
        <f t="shared" si="32"/>
        <v>0</v>
      </c>
      <c r="N102" s="246">
        <f t="shared" si="32"/>
        <v>0</v>
      </c>
      <c r="O102" s="247">
        <f t="shared" si="32"/>
        <v>0</v>
      </c>
      <c r="P102" s="221"/>
      <c r="R102" s="1024"/>
    </row>
    <row r="103" spans="1:19">
      <c r="A103" s="221"/>
      <c r="B103" s="221"/>
      <c r="C103" s="221"/>
      <c r="D103" s="221"/>
      <c r="E103" s="221"/>
      <c r="F103" s="221"/>
      <c r="G103" s="221"/>
      <c r="H103" s="1024"/>
      <c r="I103" s="221"/>
      <c r="J103" s="221"/>
      <c r="K103" s="221"/>
      <c r="L103" s="221"/>
      <c r="M103" s="221"/>
      <c r="N103" s="221"/>
      <c r="O103" s="221"/>
      <c r="P103" s="221"/>
    </row>
    <row r="104" spans="1:19">
      <c r="A104" s="221"/>
      <c r="B104" s="221"/>
      <c r="C104" s="221"/>
      <c r="D104" s="221"/>
      <c r="E104" s="221"/>
      <c r="F104" s="221"/>
      <c r="G104" s="221"/>
      <c r="H104" s="1024"/>
      <c r="I104" s="221"/>
      <c r="J104" s="221"/>
      <c r="K104" s="221"/>
      <c r="L104" s="221"/>
      <c r="M104" s="221"/>
      <c r="N104" s="221"/>
      <c r="O104" s="221"/>
      <c r="P104" s="221"/>
    </row>
    <row r="105" spans="1:19" s="1017" customFormat="1" ht="15.75">
      <c r="A105" s="219" t="s">
        <v>1193</v>
      </c>
      <c r="B105" s="1147" t="s">
        <v>1199</v>
      </c>
      <c r="C105" s="1147"/>
      <c r="D105" s="1147"/>
      <c r="E105" s="1147"/>
      <c r="F105" s="1147"/>
      <c r="G105" s="1147"/>
      <c r="H105" s="910"/>
      <c r="I105" s="219" t="s">
        <v>1195</v>
      </c>
      <c r="J105" s="1147" t="s">
        <v>1201</v>
      </c>
      <c r="K105" s="1147"/>
      <c r="L105" s="1147"/>
      <c r="M105" s="1147"/>
      <c r="N105" s="1147"/>
      <c r="O105" s="1147"/>
      <c r="P105" s="1147"/>
    </row>
    <row r="106" spans="1:19" s="1017" customFormat="1" ht="15.75" customHeight="1">
      <c r="A106" s="1159" t="s">
        <v>1202</v>
      </c>
      <c r="B106" s="1159"/>
      <c r="C106" s="1159"/>
      <c r="D106" s="1159"/>
      <c r="E106" s="1159"/>
      <c r="F106" s="1159"/>
      <c r="G106" s="1159"/>
      <c r="H106" s="910"/>
      <c r="I106" s="1159" t="s">
        <v>1203</v>
      </c>
      <c r="J106" s="1159"/>
      <c r="K106" s="1159"/>
      <c r="L106" s="1159"/>
      <c r="M106" s="1159"/>
      <c r="N106" s="1159"/>
      <c r="O106" s="1159"/>
      <c r="P106" s="1140"/>
    </row>
    <row r="107" spans="1:19" s="1017" customFormat="1" ht="15.75">
      <c r="A107" s="1236" t="s">
        <v>1109</v>
      </c>
      <c r="B107" s="1236"/>
      <c r="C107" s="1236"/>
      <c r="D107" s="1236"/>
      <c r="E107" s="1236"/>
      <c r="F107" s="1236"/>
      <c r="G107" s="1236"/>
      <c r="H107" s="910"/>
      <c r="I107" s="1236" t="s">
        <v>1109</v>
      </c>
      <c r="J107" s="1236"/>
      <c r="K107" s="1236"/>
      <c r="L107" s="1236"/>
      <c r="M107" s="1236"/>
      <c r="N107" s="1236"/>
      <c r="O107" s="1236"/>
      <c r="P107" s="1146"/>
    </row>
    <row r="108" spans="1:19" s="1020" customFormat="1" ht="12.75" thickBot="1">
      <c r="A108" s="1019"/>
      <c r="B108" s="1019"/>
      <c r="D108" s="1019"/>
      <c r="E108" s="1019"/>
      <c r="G108" s="269" t="s">
        <v>280</v>
      </c>
      <c r="H108" s="1021"/>
      <c r="I108" s="1019"/>
      <c r="J108" s="1019"/>
      <c r="K108" s="1019"/>
      <c r="L108" s="1019"/>
      <c r="M108" s="1019"/>
      <c r="O108" s="269" t="s">
        <v>280</v>
      </c>
      <c r="P108" s="1006"/>
    </row>
    <row r="109" spans="1:19" s="1023" customFormat="1" ht="24.75" thickBot="1">
      <c r="A109" s="442" t="s">
        <v>431</v>
      </c>
      <c r="B109" s="443" t="s">
        <v>1449</v>
      </c>
      <c r="C109" s="227" t="s">
        <v>1442</v>
      </c>
      <c r="D109" s="422" t="s">
        <v>460</v>
      </c>
      <c r="E109" s="423" t="s">
        <v>461</v>
      </c>
      <c r="F109" s="423" t="s">
        <v>1450</v>
      </c>
      <c r="G109" s="1149" t="s">
        <v>18</v>
      </c>
      <c r="H109" s="1026"/>
      <c r="I109" s="442" t="s">
        <v>431</v>
      </c>
      <c r="J109" s="443" t="s">
        <v>1449</v>
      </c>
      <c r="K109" s="227" t="s">
        <v>1442</v>
      </c>
      <c r="L109" s="422" t="s">
        <v>460</v>
      </c>
      <c r="M109" s="423" t="s">
        <v>461</v>
      </c>
      <c r="N109" s="423" t="s">
        <v>1450</v>
      </c>
      <c r="O109" s="1149" t="s">
        <v>18</v>
      </c>
      <c r="P109" s="1007"/>
    </row>
    <row r="110" spans="1:19">
      <c r="A110" s="228" t="s">
        <v>432</v>
      </c>
      <c r="B110" s="229">
        <f t="shared" ref="B110:G110" si="33">+B127-B115-B114-B113-B112</f>
        <v>0</v>
      </c>
      <c r="C110" s="230">
        <f t="shared" si="33"/>
        <v>1211</v>
      </c>
      <c r="D110" s="231">
        <f t="shared" si="33"/>
        <v>0</v>
      </c>
      <c r="E110" s="232">
        <f t="shared" si="33"/>
        <v>0</v>
      </c>
      <c r="F110" s="232">
        <f t="shared" si="33"/>
        <v>0</v>
      </c>
      <c r="G110" s="233">
        <f t="shared" si="33"/>
        <v>1211</v>
      </c>
      <c r="H110" s="1024"/>
      <c r="I110" s="228" t="s">
        <v>432</v>
      </c>
      <c r="J110" s="229">
        <f t="shared" ref="J110:O110" si="34">+J127-J115-J114-J113-J112</f>
        <v>0</v>
      </c>
      <c r="K110" s="230">
        <f t="shared" si="34"/>
        <v>35880</v>
      </c>
      <c r="L110" s="231">
        <f t="shared" si="34"/>
        <v>0</v>
      </c>
      <c r="M110" s="232">
        <f t="shared" si="34"/>
        <v>0</v>
      </c>
      <c r="N110" s="232">
        <f t="shared" si="34"/>
        <v>0</v>
      </c>
      <c r="O110" s="233">
        <f t="shared" si="34"/>
        <v>35880</v>
      </c>
      <c r="P110" s="221"/>
    </row>
    <row r="111" spans="1:19">
      <c r="A111" s="234" t="s">
        <v>433</v>
      </c>
      <c r="B111" s="235"/>
      <c r="C111" s="236"/>
      <c r="D111" s="237"/>
      <c r="E111" s="238"/>
      <c r="F111" s="238"/>
      <c r="G111" s="239">
        <f>+B111+C111+D111+E111+F111</f>
        <v>0</v>
      </c>
      <c r="H111" s="1024"/>
      <c r="I111" s="234" t="s">
        <v>433</v>
      </c>
      <c r="J111" s="235"/>
      <c r="K111" s="236"/>
      <c r="L111" s="237"/>
      <c r="M111" s="238"/>
      <c r="N111" s="238"/>
      <c r="O111" s="239">
        <f>+J111+K111+L111+M111+N111</f>
        <v>0</v>
      </c>
      <c r="P111" s="1008"/>
      <c r="Q111" s="141"/>
    </row>
    <row r="112" spans="1:19">
      <c r="A112" s="240" t="s">
        <v>434</v>
      </c>
      <c r="B112" s="241"/>
      <c r="C112" s="242"/>
      <c r="D112" s="243"/>
      <c r="E112" s="244"/>
      <c r="F112" s="244"/>
      <c r="G112" s="245">
        <f>+B112+C112+D112+E112+F112</f>
        <v>0</v>
      </c>
      <c r="H112" s="1024"/>
      <c r="I112" s="240" t="s">
        <v>434</v>
      </c>
      <c r="J112" s="241"/>
      <c r="K112" s="242"/>
      <c r="L112" s="243"/>
      <c r="M112" s="244"/>
      <c r="N112" s="244"/>
      <c r="O112" s="245">
        <f>+J112+K112+L112+M112+N112</f>
        <v>0</v>
      </c>
      <c r="P112" s="221"/>
      <c r="Q112" s="141"/>
      <c r="R112" s="141"/>
      <c r="S112" s="141"/>
    </row>
    <row r="113" spans="1:19">
      <c r="A113" s="240" t="s">
        <v>435</v>
      </c>
      <c r="B113" s="241"/>
      <c r="C113" s="242"/>
      <c r="D113" s="243"/>
      <c r="E113" s="244"/>
      <c r="F113" s="244"/>
      <c r="G113" s="245">
        <f>+B113+C113+D113+E113+F113</f>
        <v>0</v>
      </c>
      <c r="H113" s="1024"/>
      <c r="I113" s="240" t="s">
        <v>435</v>
      </c>
      <c r="J113" s="241"/>
      <c r="K113" s="242"/>
      <c r="L113" s="243"/>
      <c r="M113" s="244"/>
      <c r="N113" s="244"/>
      <c r="O113" s="245">
        <f>+J113+K113+L113+M113+N113</f>
        <v>0</v>
      </c>
      <c r="P113" s="221"/>
      <c r="Q113" s="141"/>
    </row>
    <row r="114" spans="1:19">
      <c r="A114" s="240" t="s">
        <v>436</v>
      </c>
      <c r="B114" s="241"/>
      <c r="C114" s="242"/>
      <c r="D114" s="243"/>
      <c r="E114" s="244"/>
      <c r="F114" s="244"/>
      <c r="G114" s="245">
        <f>+B114+C114+D114+E114+F114</f>
        <v>0</v>
      </c>
      <c r="H114" s="1024"/>
      <c r="I114" s="240" t="s">
        <v>436</v>
      </c>
      <c r="J114" s="241"/>
      <c r="K114" s="242"/>
      <c r="L114" s="243"/>
      <c r="M114" s="244"/>
      <c r="N114" s="244"/>
      <c r="O114" s="245">
        <f>+J114+K114+L114+M114+N114</f>
        <v>0</v>
      </c>
      <c r="P114" s="221"/>
      <c r="Q114" s="141"/>
    </row>
    <row r="115" spans="1:19" ht="12.75" thickBot="1">
      <c r="A115" s="240" t="s">
        <v>437</v>
      </c>
      <c r="B115" s="241"/>
      <c r="C115" s="242"/>
      <c r="D115" s="243"/>
      <c r="E115" s="244"/>
      <c r="F115" s="244"/>
      <c r="G115" s="245">
        <f>+B115+C115+D115+E115+F115</f>
        <v>0</v>
      </c>
      <c r="H115" s="1024"/>
      <c r="I115" s="240" t="s">
        <v>437</v>
      </c>
      <c r="J115" s="241"/>
      <c r="K115" s="242"/>
      <c r="L115" s="243"/>
      <c r="M115" s="244"/>
      <c r="N115" s="244"/>
      <c r="O115" s="245">
        <f>+J115+K115+L115+M115+N115</f>
        <v>0</v>
      </c>
      <c r="P115" s="221"/>
      <c r="Q115" s="141"/>
    </row>
    <row r="116" spans="1:19" ht="12.75" thickBot="1">
      <c r="A116" s="220" t="s">
        <v>438</v>
      </c>
      <c r="B116" s="246">
        <f t="shared" ref="B116:G116" si="35">+B110+B112+B113+B114+B115</f>
        <v>0</v>
      </c>
      <c r="C116" s="247">
        <f t="shared" si="35"/>
        <v>1211</v>
      </c>
      <c r="D116" s="248">
        <f t="shared" si="35"/>
        <v>0</v>
      </c>
      <c r="E116" s="246">
        <f t="shared" si="35"/>
        <v>0</v>
      </c>
      <c r="F116" s="246">
        <f t="shared" si="35"/>
        <v>0</v>
      </c>
      <c r="G116" s="247">
        <f t="shared" si="35"/>
        <v>1211</v>
      </c>
      <c r="H116" s="1024"/>
      <c r="I116" s="220" t="s">
        <v>438</v>
      </c>
      <c r="J116" s="246">
        <f t="shared" ref="J116:O116" si="36">+J110+J112+J113+J114+J115</f>
        <v>0</v>
      </c>
      <c r="K116" s="247">
        <f t="shared" si="36"/>
        <v>35880</v>
      </c>
      <c r="L116" s="248">
        <f t="shared" si="36"/>
        <v>0</v>
      </c>
      <c r="M116" s="246">
        <f t="shared" si="36"/>
        <v>0</v>
      </c>
      <c r="N116" s="246">
        <f t="shared" si="36"/>
        <v>0</v>
      </c>
      <c r="O116" s="247">
        <f t="shared" si="36"/>
        <v>35880</v>
      </c>
      <c r="P116" s="221"/>
    </row>
    <row r="117" spans="1:19" ht="12.75" thickBot="1">
      <c r="A117" s="249"/>
      <c r="B117" s="249"/>
      <c r="C117" s="249"/>
      <c r="D117" s="249"/>
      <c r="E117" s="249"/>
      <c r="F117" s="249"/>
      <c r="G117" s="249"/>
      <c r="H117" s="1024"/>
      <c r="I117" s="249"/>
      <c r="J117" s="249"/>
      <c r="K117" s="249"/>
      <c r="L117" s="249"/>
      <c r="M117" s="249"/>
      <c r="N117" s="249"/>
      <c r="O117" s="249"/>
      <c r="P117" s="249"/>
    </row>
    <row r="118" spans="1:19" s="1023" customFormat="1" ht="24.75" thickBot="1">
      <c r="A118" s="442" t="s">
        <v>439</v>
      </c>
      <c r="B118" s="443" t="s">
        <v>1449</v>
      </c>
      <c r="C118" s="227" t="s">
        <v>1442</v>
      </c>
      <c r="D118" s="422" t="s">
        <v>460</v>
      </c>
      <c r="E118" s="423" t="s">
        <v>461</v>
      </c>
      <c r="F118" s="423" t="s">
        <v>1450</v>
      </c>
      <c r="G118" s="1149" t="s">
        <v>18</v>
      </c>
      <c r="H118" s="1026"/>
      <c r="I118" s="442" t="s">
        <v>439</v>
      </c>
      <c r="J118" s="443" t="s">
        <v>1449</v>
      </c>
      <c r="K118" s="227" t="s">
        <v>1442</v>
      </c>
      <c r="L118" s="422" t="s">
        <v>460</v>
      </c>
      <c r="M118" s="423" t="s">
        <v>461</v>
      </c>
      <c r="N118" s="423" t="s">
        <v>1450</v>
      </c>
      <c r="O118" s="1149" t="s">
        <v>18</v>
      </c>
      <c r="P118" s="1007"/>
    </row>
    <row r="119" spans="1:19">
      <c r="A119" s="228" t="s">
        <v>445</v>
      </c>
      <c r="B119" s="229"/>
      <c r="C119" s="230"/>
      <c r="D119" s="231"/>
      <c r="E119" s="232"/>
      <c r="F119" s="232"/>
      <c r="G119" s="233">
        <f t="shared" ref="G119:G126" si="37">+B119+C119+D119+E119+F119</f>
        <v>0</v>
      </c>
      <c r="H119" s="1024"/>
      <c r="I119" s="228" t="s">
        <v>445</v>
      </c>
      <c r="J119" s="229"/>
      <c r="K119" s="230"/>
      <c r="L119" s="231"/>
      <c r="M119" s="232"/>
      <c r="N119" s="232"/>
      <c r="O119" s="233">
        <f t="shared" ref="O119:O126" si="38">+J119+K119+L119+M119+N119</f>
        <v>0</v>
      </c>
      <c r="P119" s="221"/>
      <c r="Q119" s="141"/>
      <c r="R119" s="141"/>
      <c r="S119" s="141"/>
    </row>
    <row r="120" spans="1:19">
      <c r="A120" s="250" t="s">
        <v>446</v>
      </c>
      <c r="B120" s="241"/>
      <c r="C120" s="242"/>
      <c r="D120" s="243"/>
      <c r="E120" s="244"/>
      <c r="F120" s="244"/>
      <c r="G120" s="245">
        <f t="shared" si="37"/>
        <v>0</v>
      </c>
      <c r="H120" s="1024"/>
      <c r="I120" s="250" t="s">
        <v>446</v>
      </c>
      <c r="J120" s="241"/>
      <c r="K120" s="242"/>
      <c r="L120" s="243"/>
      <c r="M120" s="244"/>
      <c r="N120" s="244"/>
      <c r="O120" s="245">
        <f t="shared" si="38"/>
        <v>0</v>
      </c>
      <c r="P120" s="221"/>
      <c r="Q120" s="141"/>
      <c r="R120" s="141"/>
      <c r="S120" s="141"/>
    </row>
    <row r="121" spans="1:19">
      <c r="A121" s="240" t="s">
        <v>447</v>
      </c>
      <c r="B121" s="241"/>
      <c r="C121" s="242"/>
      <c r="D121" s="243"/>
      <c r="E121" s="244"/>
      <c r="F121" s="244"/>
      <c r="G121" s="245">
        <f t="shared" si="37"/>
        <v>0</v>
      </c>
      <c r="H121" s="1024"/>
      <c r="I121" s="240" t="s">
        <v>447</v>
      </c>
      <c r="J121" s="241"/>
      <c r="K121" s="242"/>
      <c r="L121" s="243"/>
      <c r="M121" s="244"/>
      <c r="N121" s="244"/>
      <c r="O121" s="245">
        <f t="shared" si="38"/>
        <v>0</v>
      </c>
      <c r="P121" s="221"/>
      <c r="Q121" s="141"/>
      <c r="R121" s="141"/>
      <c r="S121" s="141"/>
    </row>
    <row r="122" spans="1:19">
      <c r="A122" s="240" t="s">
        <v>448</v>
      </c>
      <c r="B122" s="241"/>
      <c r="C122" s="242"/>
      <c r="D122" s="243"/>
      <c r="E122" s="244"/>
      <c r="F122" s="244"/>
      <c r="G122" s="245">
        <f t="shared" si="37"/>
        <v>0</v>
      </c>
      <c r="H122" s="1024"/>
      <c r="I122" s="240" t="s">
        <v>448</v>
      </c>
      <c r="J122" s="241"/>
      <c r="K122" s="242"/>
      <c r="L122" s="243"/>
      <c r="M122" s="244"/>
      <c r="N122" s="244"/>
      <c r="O122" s="245">
        <f t="shared" si="38"/>
        <v>0</v>
      </c>
      <c r="P122" s="221"/>
      <c r="Q122" s="141"/>
      <c r="S122" s="141"/>
    </row>
    <row r="123" spans="1:19">
      <c r="A123" s="251" t="s">
        <v>449</v>
      </c>
      <c r="B123" s="252"/>
      <c r="C123" s="242">
        <v>1211</v>
      </c>
      <c r="D123" s="243"/>
      <c r="E123" s="244"/>
      <c r="F123" s="244"/>
      <c r="G123" s="245">
        <f t="shared" si="37"/>
        <v>1211</v>
      </c>
      <c r="H123" s="1024"/>
      <c r="I123" s="251" t="s">
        <v>449</v>
      </c>
      <c r="J123" s="252"/>
      <c r="K123" s="242">
        <v>35880</v>
      </c>
      <c r="L123" s="243"/>
      <c r="M123" s="244"/>
      <c r="N123" s="244"/>
      <c r="O123" s="245">
        <f t="shared" si="38"/>
        <v>35880</v>
      </c>
      <c r="P123" s="221"/>
      <c r="Q123" s="141"/>
      <c r="R123" s="141"/>
      <c r="S123" s="141"/>
    </row>
    <row r="124" spans="1:19">
      <c r="A124" s="251" t="s">
        <v>450</v>
      </c>
      <c r="B124" s="252"/>
      <c r="C124" s="242"/>
      <c r="D124" s="243"/>
      <c r="E124" s="244"/>
      <c r="F124" s="244"/>
      <c r="G124" s="245">
        <f t="shared" si="37"/>
        <v>0</v>
      </c>
      <c r="H124" s="1024"/>
      <c r="I124" s="251" t="s">
        <v>450</v>
      </c>
      <c r="J124" s="252"/>
      <c r="K124" s="242"/>
      <c r="L124" s="243"/>
      <c r="M124" s="244"/>
      <c r="N124" s="244"/>
      <c r="O124" s="245">
        <f t="shared" si="38"/>
        <v>0</v>
      </c>
      <c r="P124" s="221"/>
      <c r="Q124" s="141"/>
      <c r="R124" s="141"/>
      <c r="S124" s="141"/>
    </row>
    <row r="125" spans="1:19">
      <c r="A125" s="253" t="s">
        <v>451</v>
      </c>
      <c r="B125" s="254"/>
      <c r="C125" s="255"/>
      <c r="D125" s="256"/>
      <c r="E125" s="257"/>
      <c r="F125" s="257"/>
      <c r="G125" s="245">
        <f t="shared" si="37"/>
        <v>0</v>
      </c>
      <c r="H125" s="1024"/>
      <c r="I125" s="253" t="s">
        <v>451</v>
      </c>
      <c r="J125" s="254"/>
      <c r="K125" s="255"/>
      <c r="L125" s="243"/>
      <c r="M125" s="257"/>
      <c r="N125" s="257"/>
      <c r="O125" s="245">
        <f t="shared" si="38"/>
        <v>0</v>
      </c>
      <c r="P125" s="221"/>
      <c r="Q125" s="141"/>
      <c r="R125" s="141"/>
      <c r="S125" s="141"/>
    </row>
    <row r="126" spans="1:19" ht="12.75" thickBot="1">
      <c r="A126" s="253" t="s">
        <v>452</v>
      </c>
      <c r="B126" s="254"/>
      <c r="C126" s="255"/>
      <c r="D126" s="256"/>
      <c r="E126" s="257"/>
      <c r="F126" s="257"/>
      <c r="G126" s="245">
        <f t="shared" si="37"/>
        <v>0</v>
      </c>
      <c r="H126" s="1024"/>
      <c r="I126" s="253" t="s">
        <v>452</v>
      </c>
      <c r="J126" s="254"/>
      <c r="K126" s="255"/>
      <c r="L126" s="256"/>
      <c r="M126" s="257"/>
      <c r="N126" s="257"/>
      <c r="O126" s="245">
        <f t="shared" si="38"/>
        <v>0</v>
      </c>
      <c r="P126" s="221"/>
      <c r="Q126" s="141"/>
      <c r="R126" s="141"/>
      <c r="S126" s="141"/>
    </row>
    <row r="127" spans="1:19" ht="12.75" thickBot="1">
      <c r="A127" s="220" t="s">
        <v>453</v>
      </c>
      <c r="B127" s="246">
        <f t="shared" ref="B127:G127" si="39">+B119+B120+B121+B122+B123+B124+B125+B126</f>
        <v>0</v>
      </c>
      <c r="C127" s="247">
        <f t="shared" si="39"/>
        <v>1211</v>
      </c>
      <c r="D127" s="248">
        <f t="shared" si="39"/>
        <v>0</v>
      </c>
      <c r="E127" s="246">
        <f t="shared" si="39"/>
        <v>0</v>
      </c>
      <c r="F127" s="246">
        <f t="shared" si="39"/>
        <v>0</v>
      </c>
      <c r="G127" s="247">
        <f t="shared" si="39"/>
        <v>1211</v>
      </c>
      <c r="I127" s="220" t="s">
        <v>453</v>
      </c>
      <c r="J127" s="246">
        <f t="shared" ref="J127:O127" si="40">+J119+J120+J121+J122+J123+J124+J125+J126</f>
        <v>0</v>
      </c>
      <c r="K127" s="247">
        <f t="shared" si="40"/>
        <v>35880</v>
      </c>
      <c r="L127" s="248">
        <f t="shared" si="40"/>
        <v>0</v>
      </c>
      <c r="M127" s="246">
        <f t="shared" si="40"/>
        <v>0</v>
      </c>
      <c r="N127" s="246">
        <f t="shared" si="40"/>
        <v>0</v>
      </c>
      <c r="O127" s="247">
        <f t="shared" si="40"/>
        <v>35880</v>
      </c>
      <c r="P127" s="221"/>
      <c r="R127" s="1024"/>
    </row>
    <row r="128" spans="1:19">
      <c r="A128" s="221"/>
      <c r="B128" s="221"/>
      <c r="C128" s="221"/>
      <c r="D128" s="221"/>
      <c r="E128" s="221"/>
      <c r="F128" s="221"/>
      <c r="G128" s="221"/>
      <c r="H128" s="1024"/>
      <c r="I128" s="221"/>
      <c r="J128" s="221"/>
      <c r="K128" s="221"/>
      <c r="L128" s="221"/>
      <c r="M128" s="221"/>
      <c r="N128" s="221"/>
      <c r="O128" s="221"/>
      <c r="P128" s="221"/>
    </row>
    <row r="130" spans="1:19" s="1017" customFormat="1" ht="15.75">
      <c r="A130" s="219" t="s">
        <v>1198</v>
      </c>
      <c r="B130" s="1238" t="s">
        <v>1205</v>
      </c>
      <c r="C130" s="1238"/>
      <c r="D130" s="1238"/>
      <c r="E130" s="1238"/>
      <c r="F130" s="1238"/>
      <c r="G130" s="1238"/>
      <c r="H130" s="910"/>
      <c r="I130" s="219" t="s">
        <v>1200</v>
      </c>
      <c r="J130" s="1238" t="s">
        <v>1207</v>
      </c>
      <c r="K130" s="1238"/>
      <c r="L130" s="1238"/>
      <c r="M130" s="1238"/>
      <c r="N130" s="1238"/>
      <c r="O130" s="1238"/>
      <c r="P130" s="1147"/>
    </row>
    <row r="131" spans="1:19" s="1017" customFormat="1" ht="15.75" customHeight="1">
      <c r="A131" s="1159" t="s">
        <v>1208</v>
      </c>
      <c r="B131" s="1159"/>
      <c r="C131" s="1159"/>
      <c r="D131" s="1159"/>
      <c r="E131" s="1159"/>
      <c r="F131" s="1159"/>
      <c r="G131" s="1159"/>
      <c r="H131" s="910"/>
      <c r="I131" s="1159" t="s">
        <v>1209</v>
      </c>
      <c r="J131" s="1159"/>
      <c r="K131" s="1159"/>
      <c r="L131" s="1159"/>
      <c r="M131" s="1159"/>
      <c r="N131" s="1159"/>
      <c r="O131" s="1159"/>
      <c r="P131" s="1140"/>
    </row>
    <row r="132" spans="1:19" s="1017" customFormat="1" ht="15.75">
      <c r="A132" s="1236" t="s">
        <v>1109</v>
      </c>
      <c r="B132" s="1236"/>
      <c r="C132" s="1236"/>
      <c r="D132" s="1236"/>
      <c r="E132" s="1236"/>
      <c r="F132" s="1236"/>
      <c r="G132" s="1236"/>
      <c r="H132" s="910"/>
      <c r="I132" s="1236" t="s">
        <v>1210</v>
      </c>
      <c r="J132" s="1236"/>
      <c r="K132" s="1236"/>
      <c r="L132" s="1236"/>
      <c r="M132" s="1236"/>
      <c r="N132" s="1236"/>
      <c r="O132" s="1236"/>
      <c r="P132" s="1146"/>
    </row>
    <row r="133" spans="1:19" s="1020" customFormat="1" ht="12.75" thickBot="1">
      <c r="A133" s="1019"/>
      <c r="B133" s="1019"/>
      <c r="D133" s="1019"/>
      <c r="E133" s="1019"/>
      <c r="G133" s="269" t="s">
        <v>280</v>
      </c>
      <c r="H133" s="1021"/>
      <c r="I133" s="1019"/>
      <c r="J133" s="1019"/>
      <c r="K133" s="1019"/>
      <c r="L133" s="1019"/>
      <c r="M133" s="1019"/>
      <c r="O133" s="269" t="s">
        <v>280</v>
      </c>
      <c r="P133" s="1006"/>
    </row>
    <row r="134" spans="1:19" s="1023" customFormat="1" ht="24.75" thickBot="1">
      <c r="A134" s="442" t="s">
        <v>431</v>
      </c>
      <c r="B134" s="443" t="s">
        <v>1449</v>
      </c>
      <c r="C134" s="227" t="s">
        <v>1442</v>
      </c>
      <c r="D134" s="422" t="s">
        <v>460</v>
      </c>
      <c r="E134" s="423" t="s">
        <v>461</v>
      </c>
      <c r="F134" s="423" t="s">
        <v>1450</v>
      </c>
      <c r="G134" s="1149" t="s">
        <v>18</v>
      </c>
      <c r="H134" s="1026"/>
      <c r="I134" s="442" t="s">
        <v>431</v>
      </c>
      <c r="J134" s="443" t="s">
        <v>1449</v>
      </c>
      <c r="K134" s="227" t="s">
        <v>1442</v>
      </c>
      <c r="L134" s="422" t="s">
        <v>460</v>
      </c>
      <c r="M134" s="423" t="s">
        <v>461</v>
      </c>
      <c r="N134" s="423" t="s">
        <v>1450</v>
      </c>
      <c r="O134" s="1149" t="s">
        <v>18</v>
      </c>
      <c r="P134" s="1007"/>
    </row>
    <row r="135" spans="1:19">
      <c r="A135" s="228" t="s">
        <v>432</v>
      </c>
      <c r="B135" s="229">
        <f t="shared" ref="B135:G135" si="41">+B152-B140-B139-B138-B137</f>
        <v>0</v>
      </c>
      <c r="C135" s="230">
        <f t="shared" si="41"/>
        <v>30074</v>
      </c>
      <c r="D135" s="231">
        <f t="shared" si="41"/>
        <v>0</v>
      </c>
      <c r="E135" s="232">
        <f t="shared" si="41"/>
        <v>0</v>
      </c>
      <c r="F135" s="232">
        <f t="shared" si="41"/>
        <v>0</v>
      </c>
      <c r="G135" s="233">
        <f t="shared" si="41"/>
        <v>30074</v>
      </c>
      <c r="H135" s="1024"/>
      <c r="I135" s="228" t="s">
        <v>432</v>
      </c>
      <c r="J135" s="229">
        <f t="shared" ref="J135:O135" si="42">+J152-J140-J139-J138-J137</f>
        <v>0</v>
      </c>
      <c r="K135" s="230">
        <f t="shared" si="42"/>
        <v>195124</v>
      </c>
      <c r="L135" s="231">
        <f t="shared" si="42"/>
        <v>0</v>
      </c>
      <c r="M135" s="232">
        <f t="shared" si="42"/>
        <v>0</v>
      </c>
      <c r="N135" s="232">
        <f t="shared" si="42"/>
        <v>0</v>
      </c>
      <c r="O135" s="233">
        <f t="shared" si="42"/>
        <v>195124</v>
      </c>
      <c r="P135" s="221"/>
    </row>
    <row r="136" spans="1:19">
      <c r="A136" s="234" t="s">
        <v>433</v>
      </c>
      <c r="B136" s="235"/>
      <c r="C136" s="236"/>
      <c r="D136" s="237"/>
      <c r="E136" s="238"/>
      <c r="F136" s="238"/>
      <c r="G136" s="239">
        <f>+B136+C136+D136+E136+F136</f>
        <v>0</v>
      </c>
      <c r="H136" s="1024"/>
      <c r="I136" s="234" t="s">
        <v>433</v>
      </c>
      <c r="J136" s="235"/>
      <c r="K136" s="236"/>
      <c r="L136" s="237"/>
      <c r="M136" s="238"/>
      <c r="N136" s="238"/>
      <c r="O136" s="239">
        <f>+J136+K136+L136+M136+N136</f>
        <v>0</v>
      </c>
      <c r="P136" s="1008"/>
      <c r="Q136" s="141"/>
    </row>
    <row r="137" spans="1:19">
      <c r="A137" s="240" t="s">
        <v>434</v>
      </c>
      <c r="B137" s="241"/>
      <c r="C137" s="242"/>
      <c r="D137" s="243"/>
      <c r="E137" s="244"/>
      <c r="F137" s="244"/>
      <c r="G137" s="245">
        <f>+B137+C137+D137+E137+F137</f>
        <v>0</v>
      </c>
      <c r="H137" s="1024"/>
      <c r="I137" s="240" t="s">
        <v>434</v>
      </c>
      <c r="J137" s="241"/>
      <c r="K137" s="242"/>
      <c r="L137" s="243"/>
      <c r="M137" s="244"/>
      <c r="N137" s="244"/>
      <c r="O137" s="245">
        <f>+J137+K137+L137+M137+N137</f>
        <v>0</v>
      </c>
      <c r="P137" s="221"/>
      <c r="Q137" s="141"/>
      <c r="R137" s="141"/>
      <c r="S137" s="141"/>
    </row>
    <row r="138" spans="1:19">
      <c r="A138" s="240" t="s">
        <v>435</v>
      </c>
      <c r="B138" s="241"/>
      <c r="C138" s="242"/>
      <c r="D138" s="243"/>
      <c r="E138" s="244"/>
      <c r="F138" s="244"/>
      <c r="G138" s="245">
        <f>+B138+C138+D138+E138+F138</f>
        <v>0</v>
      </c>
      <c r="H138" s="1024"/>
      <c r="I138" s="240" t="s">
        <v>435</v>
      </c>
      <c r="J138" s="241"/>
      <c r="K138" s="242"/>
      <c r="L138" s="243"/>
      <c r="M138" s="244"/>
      <c r="N138" s="244"/>
      <c r="O138" s="245">
        <f>+J138+K138+L138+M138+N138</f>
        <v>0</v>
      </c>
      <c r="P138" s="221"/>
      <c r="Q138" s="141"/>
    </row>
    <row r="139" spans="1:19">
      <c r="A139" s="240" t="s">
        <v>436</v>
      </c>
      <c r="B139" s="241"/>
      <c r="C139" s="242"/>
      <c r="D139" s="243"/>
      <c r="E139" s="244"/>
      <c r="F139" s="244"/>
      <c r="G139" s="245">
        <f>+B139+C139+D139+E139+F139</f>
        <v>0</v>
      </c>
      <c r="H139" s="1024"/>
      <c r="I139" s="240" t="s">
        <v>436</v>
      </c>
      <c r="J139" s="241"/>
      <c r="K139" s="242"/>
      <c r="L139" s="243"/>
      <c r="M139" s="244"/>
      <c r="N139" s="244"/>
      <c r="O139" s="245">
        <f>+J139+K139+L139+M139+N139</f>
        <v>0</v>
      </c>
      <c r="P139" s="221"/>
      <c r="Q139" s="141"/>
    </row>
    <row r="140" spans="1:19" ht="12.75" thickBot="1">
      <c r="A140" s="240" t="s">
        <v>437</v>
      </c>
      <c r="B140" s="241"/>
      <c r="C140" s="242"/>
      <c r="D140" s="243"/>
      <c r="E140" s="244"/>
      <c r="F140" s="244"/>
      <c r="G140" s="245">
        <f>+B140+C140+D140+E140+F140</f>
        <v>0</v>
      </c>
      <c r="H140" s="1024"/>
      <c r="I140" s="240" t="s">
        <v>437</v>
      </c>
      <c r="J140" s="241"/>
      <c r="K140" s="242"/>
      <c r="L140" s="243"/>
      <c r="M140" s="244"/>
      <c r="N140" s="244"/>
      <c r="O140" s="245">
        <f>+J140+K140+L140+M140+N140</f>
        <v>0</v>
      </c>
      <c r="P140" s="221"/>
      <c r="Q140" s="141"/>
    </row>
    <row r="141" spans="1:19" ht="12.75" thickBot="1">
      <c r="A141" s="220" t="s">
        <v>438</v>
      </c>
      <c r="B141" s="246">
        <f t="shared" ref="B141:G141" si="43">+B135+B137+B138+B139+B140</f>
        <v>0</v>
      </c>
      <c r="C141" s="247">
        <f t="shared" si="43"/>
        <v>30074</v>
      </c>
      <c r="D141" s="248">
        <f t="shared" si="43"/>
        <v>0</v>
      </c>
      <c r="E141" s="246">
        <f t="shared" si="43"/>
        <v>0</v>
      </c>
      <c r="F141" s="246">
        <f t="shared" si="43"/>
        <v>0</v>
      </c>
      <c r="G141" s="247">
        <f t="shared" si="43"/>
        <v>30074</v>
      </c>
      <c r="H141" s="1024"/>
      <c r="I141" s="220" t="s">
        <v>438</v>
      </c>
      <c r="J141" s="246">
        <f t="shared" ref="J141:O141" si="44">+J135+J137+J138+J139+J140</f>
        <v>0</v>
      </c>
      <c r="K141" s="247">
        <f t="shared" si="44"/>
        <v>195124</v>
      </c>
      <c r="L141" s="248">
        <f t="shared" si="44"/>
        <v>0</v>
      </c>
      <c r="M141" s="246">
        <f t="shared" si="44"/>
        <v>0</v>
      </c>
      <c r="N141" s="246">
        <f t="shared" si="44"/>
        <v>0</v>
      </c>
      <c r="O141" s="247">
        <f t="shared" si="44"/>
        <v>195124</v>
      </c>
      <c r="P141" s="221"/>
    </row>
    <row r="142" spans="1:19" ht="12.75" thickBot="1">
      <c r="A142" s="249"/>
      <c r="B142" s="249"/>
      <c r="C142" s="249"/>
      <c r="D142" s="249"/>
      <c r="E142" s="249"/>
      <c r="F142" s="249"/>
      <c r="G142" s="249"/>
      <c r="H142" s="1024"/>
      <c r="I142" s="249"/>
      <c r="J142" s="249"/>
      <c r="K142" s="249"/>
      <c r="L142" s="249"/>
      <c r="M142" s="249"/>
      <c r="N142" s="249"/>
      <c r="O142" s="249"/>
      <c r="P142" s="249"/>
    </row>
    <row r="143" spans="1:19" s="1023" customFormat="1" ht="24.75" thickBot="1">
      <c r="A143" s="442" t="s">
        <v>439</v>
      </c>
      <c r="B143" s="443" t="s">
        <v>1449</v>
      </c>
      <c r="C143" s="227" t="s">
        <v>1442</v>
      </c>
      <c r="D143" s="422" t="s">
        <v>460</v>
      </c>
      <c r="E143" s="423" t="s">
        <v>461</v>
      </c>
      <c r="F143" s="423" t="s">
        <v>1450</v>
      </c>
      <c r="G143" s="1149" t="s">
        <v>18</v>
      </c>
      <c r="H143" s="1026"/>
      <c r="I143" s="442" t="s">
        <v>439</v>
      </c>
      <c r="J143" s="443" t="s">
        <v>1449</v>
      </c>
      <c r="K143" s="227" t="s">
        <v>1442</v>
      </c>
      <c r="L143" s="422" t="s">
        <v>460</v>
      </c>
      <c r="M143" s="423" t="s">
        <v>461</v>
      </c>
      <c r="N143" s="423" t="s">
        <v>1450</v>
      </c>
      <c r="O143" s="1149" t="s">
        <v>18</v>
      </c>
      <c r="P143" s="1007"/>
    </row>
    <row r="144" spans="1:19">
      <c r="A144" s="228" t="s">
        <v>445</v>
      </c>
      <c r="B144" s="229"/>
      <c r="C144" s="230"/>
      <c r="D144" s="231"/>
      <c r="E144" s="232"/>
      <c r="F144" s="232"/>
      <c r="G144" s="233">
        <f t="shared" ref="G144:G151" si="45">+B144+C144+D144+E144+F144</f>
        <v>0</v>
      </c>
      <c r="H144" s="1024"/>
      <c r="I144" s="228" t="s">
        <v>445</v>
      </c>
      <c r="J144" s="229"/>
      <c r="K144" s="230"/>
      <c r="L144" s="231"/>
      <c r="M144" s="232"/>
      <c r="N144" s="232"/>
      <c r="O144" s="233">
        <f t="shared" ref="O144:O151" si="46">+J144+K144+L144+M144+N144</f>
        <v>0</v>
      </c>
      <c r="P144" s="221"/>
      <c r="Q144" s="141"/>
      <c r="R144" s="141"/>
      <c r="S144" s="141"/>
    </row>
    <row r="145" spans="1:19">
      <c r="A145" s="250" t="s">
        <v>446</v>
      </c>
      <c r="B145" s="241"/>
      <c r="C145" s="242"/>
      <c r="D145" s="243"/>
      <c r="E145" s="244"/>
      <c r="F145" s="244"/>
      <c r="G145" s="245">
        <f t="shared" si="45"/>
        <v>0</v>
      </c>
      <c r="H145" s="1024"/>
      <c r="I145" s="250" t="s">
        <v>446</v>
      </c>
      <c r="J145" s="241"/>
      <c r="K145" s="242"/>
      <c r="L145" s="243"/>
      <c r="M145" s="244"/>
      <c r="N145" s="244"/>
      <c r="O145" s="245">
        <f t="shared" si="46"/>
        <v>0</v>
      </c>
      <c r="P145" s="221"/>
      <c r="Q145" s="141"/>
      <c r="R145" s="141"/>
      <c r="S145" s="141"/>
    </row>
    <row r="146" spans="1:19">
      <c r="A146" s="240" t="s">
        <v>447</v>
      </c>
      <c r="B146" s="241"/>
      <c r="C146" s="242"/>
      <c r="D146" s="243"/>
      <c r="E146" s="244"/>
      <c r="F146" s="244"/>
      <c r="G146" s="245">
        <f t="shared" si="45"/>
        <v>0</v>
      </c>
      <c r="H146" s="1024"/>
      <c r="I146" s="240" t="s">
        <v>447</v>
      </c>
      <c r="J146" s="241"/>
      <c r="K146" s="242"/>
      <c r="L146" s="243"/>
      <c r="M146" s="244"/>
      <c r="N146" s="244"/>
      <c r="O146" s="245">
        <f t="shared" si="46"/>
        <v>0</v>
      </c>
      <c r="P146" s="221"/>
      <c r="Q146" s="141"/>
      <c r="R146" s="141"/>
      <c r="S146" s="141"/>
    </row>
    <row r="147" spans="1:19">
      <c r="A147" s="240" t="s">
        <v>448</v>
      </c>
      <c r="B147" s="241"/>
      <c r="C147" s="242"/>
      <c r="D147" s="243"/>
      <c r="E147" s="244"/>
      <c r="F147" s="244"/>
      <c r="G147" s="245">
        <f t="shared" si="45"/>
        <v>0</v>
      </c>
      <c r="H147" s="1024"/>
      <c r="I147" s="240" t="s">
        <v>448</v>
      </c>
      <c r="J147" s="241"/>
      <c r="K147" s="242"/>
      <c r="L147" s="243"/>
      <c r="M147" s="244"/>
      <c r="N147" s="244"/>
      <c r="O147" s="245">
        <f t="shared" si="46"/>
        <v>0</v>
      </c>
      <c r="P147" s="221"/>
      <c r="Q147" s="141"/>
      <c r="S147" s="141"/>
    </row>
    <row r="148" spans="1:19">
      <c r="A148" s="251" t="s">
        <v>449</v>
      </c>
      <c r="B148" s="252"/>
      <c r="C148" s="242">
        <v>30074</v>
      </c>
      <c r="D148" s="243"/>
      <c r="E148" s="244"/>
      <c r="F148" s="244"/>
      <c r="G148" s="245">
        <f t="shared" si="45"/>
        <v>30074</v>
      </c>
      <c r="H148" s="1024"/>
      <c r="I148" s="251" t="s">
        <v>449</v>
      </c>
      <c r="J148" s="252"/>
      <c r="K148" s="242">
        <v>195124</v>
      </c>
      <c r="L148" s="243"/>
      <c r="M148" s="244"/>
      <c r="N148" s="244"/>
      <c r="O148" s="245">
        <f t="shared" si="46"/>
        <v>195124</v>
      </c>
      <c r="P148" s="221"/>
      <c r="Q148" s="141"/>
      <c r="R148" s="141"/>
      <c r="S148" s="141"/>
    </row>
    <row r="149" spans="1:19">
      <c r="A149" s="251" t="s">
        <v>450</v>
      </c>
      <c r="B149" s="252"/>
      <c r="C149" s="242"/>
      <c r="D149" s="243"/>
      <c r="E149" s="244"/>
      <c r="F149" s="244"/>
      <c r="G149" s="245">
        <f t="shared" si="45"/>
        <v>0</v>
      </c>
      <c r="H149" s="1024"/>
      <c r="I149" s="251" t="s">
        <v>450</v>
      </c>
      <c r="J149" s="252"/>
      <c r="K149" s="242"/>
      <c r="L149" s="243"/>
      <c r="M149" s="244"/>
      <c r="N149" s="244"/>
      <c r="O149" s="245">
        <f t="shared" si="46"/>
        <v>0</v>
      </c>
      <c r="P149" s="221"/>
      <c r="Q149" s="141"/>
      <c r="R149" s="141"/>
      <c r="S149" s="141"/>
    </row>
    <row r="150" spans="1:19">
      <c r="A150" s="253" t="s">
        <v>451</v>
      </c>
      <c r="B150" s="254"/>
      <c r="C150" s="255"/>
      <c r="D150" s="256"/>
      <c r="E150" s="257"/>
      <c r="F150" s="257"/>
      <c r="G150" s="245">
        <f t="shared" si="45"/>
        <v>0</v>
      </c>
      <c r="H150" s="1024"/>
      <c r="I150" s="253" t="s">
        <v>451</v>
      </c>
      <c r="J150" s="254"/>
      <c r="K150" s="255"/>
      <c r="L150" s="243"/>
      <c r="M150" s="257"/>
      <c r="N150" s="257"/>
      <c r="O150" s="245">
        <f t="shared" si="46"/>
        <v>0</v>
      </c>
      <c r="P150" s="221"/>
      <c r="Q150" s="141"/>
      <c r="R150" s="141"/>
      <c r="S150" s="141"/>
    </row>
    <row r="151" spans="1:19" ht="12.75" thickBot="1">
      <c r="A151" s="253" t="s">
        <v>452</v>
      </c>
      <c r="B151" s="254"/>
      <c r="C151" s="255"/>
      <c r="D151" s="256"/>
      <c r="E151" s="257"/>
      <c r="F151" s="257"/>
      <c r="G151" s="245">
        <f t="shared" si="45"/>
        <v>0</v>
      </c>
      <c r="H151" s="1024"/>
      <c r="I151" s="253" t="s">
        <v>452</v>
      </c>
      <c r="J151" s="254"/>
      <c r="K151" s="255"/>
      <c r="L151" s="256"/>
      <c r="M151" s="257"/>
      <c r="N151" s="257"/>
      <c r="O151" s="245">
        <f t="shared" si="46"/>
        <v>0</v>
      </c>
      <c r="P151" s="221"/>
      <c r="Q151" s="141"/>
      <c r="R151" s="141"/>
      <c r="S151" s="141"/>
    </row>
    <row r="152" spans="1:19" ht="12.75" thickBot="1">
      <c r="A152" s="220" t="s">
        <v>453</v>
      </c>
      <c r="B152" s="246">
        <f t="shared" ref="B152:G152" si="47">+B144+B145+B146+B147+B148+B149+B150+B151</f>
        <v>0</v>
      </c>
      <c r="C152" s="247">
        <f t="shared" si="47"/>
        <v>30074</v>
      </c>
      <c r="D152" s="248">
        <f t="shared" si="47"/>
        <v>0</v>
      </c>
      <c r="E152" s="246">
        <f t="shared" si="47"/>
        <v>0</v>
      </c>
      <c r="F152" s="246">
        <f t="shared" si="47"/>
        <v>0</v>
      </c>
      <c r="G152" s="247">
        <f t="shared" si="47"/>
        <v>30074</v>
      </c>
      <c r="I152" s="220" t="s">
        <v>453</v>
      </c>
      <c r="J152" s="246">
        <f t="shared" ref="J152:O152" si="48">+J144+J145+J146+J147+J148+J149+J150+J151</f>
        <v>0</v>
      </c>
      <c r="K152" s="247">
        <f t="shared" si="48"/>
        <v>195124</v>
      </c>
      <c r="L152" s="248">
        <f t="shared" si="48"/>
        <v>0</v>
      </c>
      <c r="M152" s="246">
        <f t="shared" si="48"/>
        <v>0</v>
      </c>
      <c r="N152" s="246">
        <f t="shared" si="48"/>
        <v>0</v>
      </c>
      <c r="O152" s="247">
        <f t="shared" si="48"/>
        <v>195124</v>
      </c>
      <c r="P152" s="221"/>
      <c r="R152" s="1024"/>
    </row>
    <row r="153" spans="1:19">
      <c r="A153" s="221"/>
      <c r="B153" s="221"/>
      <c r="C153" s="221"/>
      <c r="D153" s="221"/>
      <c r="E153" s="221"/>
      <c r="F153" s="221"/>
      <c r="G153" s="221"/>
      <c r="H153" s="1024"/>
      <c r="I153" s="221"/>
      <c r="J153" s="221"/>
      <c r="K153" s="221"/>
      <c r="L153" s="221"/>
      <c r="M153" s="221"/>
      <c r="N153" s="221"/>
      <c r="O153" s="221"/>
      <c r="P153" s="221"/>
    </row>
    <row r="155" spans="1:19" s="1017" customFormat="1" ht="15.75">
      <c r="A155" s="219" t="s">
        <v>1204</v>
      </c>
      <c r="B155" s="1147" t="s">
        <v>1196</v>
      </c>
      <c r="C155" s="1147"/>
      <c r="D155" s="1147"/>
      <c r="E155" s="1147"/>
      <c r="F155" s="1147"/>
      <c r="G155" s="1147"/>
      <c r="H155" s="910"/>
      <c r="I155" s="219" t="s">
        <v>1206</v>
      </c>
      <c r="J155" s="1147" t="s">
        <v>1525</v>
      </c>
      <c r="K155" s="1147"/>
      <c r="L155" s="1147"/>
      <c r="M155" s="1147"/>
      <c r="N155" s="1147"/>
      <c r="O155" s="1147"/>
      <c r="P155" s="1147"/>
    </row>
    <row r="156" spans="1:19" s="1017" customFormat="1" ht="15.75" customHeight="1">
      <c r="A156" s="1159" t="s">
        <v>1416</v>
      </c>
      <c r="B156" s="1159"/>
      <c r="C156" s="1159"/>
      <c r="D156" s="1159"/>
      <c r="E156" s="1159"/>
      <c r="F156" s="1159"/>
      <c r="G156" s="1159"/>
      <c r="H156" s="910"/>
      <c r="I156" s="1159" t="s">
        <v>1417</v>
      </c>
      <c r="J156" s="1159"/>
      <c r="K156" s="1159"/>
      <c r="L156" s="1159"/>
      <c r="M156" s="1159"/>
      <c r="N156" s="1159"/>
      <c r="O156" s="1159"/>
      <c r="P156" s="1140"/>
    </row>
    <row r="157" spans="1:19" s="1017" customFormat="1" ht="15.75">
      <c r="A157" s="1236" t="s">
        <v>1109</v>
      </c>
      <c r="B157" s="1236"/>
      <c r="C157" s="1236"/>
      <c r="D157" s="1236"/>
      <c r="E157" s="1236"/>
      <c r="F157" s="1236"/>
      <c r="G157" s="1236"/>
      <c r="H157" s="910"/>
      <c r="I157" s="1236" t="s">
        <v>1109</v>
      </c>
      <c r="J157" s="1236"/>
      <c r="K157" s="1236"/>
      <c r="L157" s="1236"/>
      <c r="M157" s="1236"/>
      <c r="N157" s="1236"/>
      <c r="O157" s="1236"/>
      <c r="P157" s="1146"/>
    </row>
    <row r="158" spans="1:19" s="1020" customFormat="1" ht="12.75" thickBot="1">
      <c r="A158" s="1019"/>
      <c r="B158" s="1019"/>
      <c r="D158" s="1019"/>
      <c r="E158" s="1019"/>
      <c r="G158" s="269" t="s">
        <v>280</v>
      </c>
      <c r="H158" s="1021"/>
      <c r="I158" s="1019"/>
      <c r="J158" s="1019"/>
      <c r="K158" s="1019"/>
      <c r="L158" s="1019"/>
      <c r="M158" s="1019"/>
      <c r="O158" s="269" t="s">
        <v>280</v>
      </c>
      <c r="P158" s="1006"/>
    </row>
    <row r="159" spans="1:19" s="1023" customFormat="1" ht="24.75" thickBot="1">
      <c r="A159" s="442" t="s">
        <v>431</v>
      </c>
      <c r="B159" s="443" t="s">
        <v>1449</v>
      </c>
      <c r="C159" s="227" t="s">
        <v>1442</v>
      </c>
      <c r="D159" s="422" t="s">
        <v>460</v>
      </c>
      <c r="E159" s="423" t="s">
        <v>461</v>
      </c>
      <c r="F159" s="423" t="s">
        <v>1450</v>
      </c>
      <c r="G159" s="1149" t="s">
        <v>18</v>
      </c>
      <c r="H159" s="1026"/>
      <c r="I159" s="442" t="s">
        <v>431</v>
      </c>
      <c r="J159" s="443" t="s">
        <v>1449</v>
      </c>
      <c r="K159" s="227" t="s">
        <v>1442</v>
      </c>
      <c r="L159" s="422" t="s">
        <v>460</v>
      </c>
      <c r="M159" s="423" t="s">
        <v>461</v>
      </c>
      <c r="N159" s="423" t="s">
        <v>1450</v>
      </c>
      <c r="O159" s="1149" t="s">
        <v>18</v>
      </c>
      <c r="P159" s="1007"/>
    </row>
    <row r="160" spans="1:19">
      <c r="A160" s="228" t="s">
        <v>432</v>
      </c>
      <c r="B160" s="229">
        <f t="shared" ref="B160:G160" si="49">+B177-B165-B164-B163-B162</f>
        <v>0</v>
      </c>
      <c r="C160" s="230">
        <f t="shared" si="49"/>
        <v>4509</v>
      </c>
      <c r="D160" s="231">
        <f t="shared" si="49"/>
        <v>0</v>
      </c>
      <c r="E160" s="232">
        <f t="shared" si="49"/>
        <v>0</v>
      </c>
      <c r="F160" s="232">
        <f t="shared" si="49"/>
        <v>0</v>
      </c>
      <c r="G160" s="233">
        <f t="shared" si="49"/>
        <v>4509</v>
      </c>
      <c r="H160" s="1024"/>
      <c r="I160" s="228" t="s">
        <v>432</v>
      </c>
      <c r="J160" s="229">
        <f t="shared" ref="J160:O160" si="50">+J177-J165-J164-J163-J162</f>
        <v>0</v>
      </c>
      <c r="K160" s="230">
        <f t="shared" si="50"/>
        <v>40360</v>
      </c>
      <c r="L160" s="231">
        <f t="shared" si="50"/>
        <v>0</v>
      </c>
      <c r="M160" s="232">
        <f t="shared" si="50"/>
        <v>0</v>
      </c>
      <c r="N160" s="232">
        <f t="shared" si="50"/>
        <v>0</v>
      </c>
      <c r="O160" s="233">
        <f t="shared" si="50"/>
        <v>40360</v>
      </c>
      <c r="P160" s="221"/>
    </row>
    <row r="161" spans="1:19">
      <c r="A161" s="234" t="s">
        <v>433</v>
      </c>
      <c r="B161" s="235"/>
      <c r="C161" s="236"/>
      <c r="D161" s="237"/>
      <c r="E161" s="238"/>
      <c r="F161" s="238"/>
      <c r="G161" s="239">
        <f>+B161+C161+D161+E161+F161</f>
        <v>0</v>
      </c>
      <c r="H161" s="1024"/>
      <c r="I161" s="234" t="s">
        <v>433</v>
      </c>
      <c r="J161" s="235"/>
      <c r="K161" s="236"/>
      <c r="L161" s="237"/>
      <c r="M161" s="238"/>
      <c r="N161" s="238"/>
      <c r="O161" s="239">
        <f>+J161+K161+L161+M161+N161</f>
        <v>0</v>
      </c>
      <c r="P161" s="1008"/>
      <c r="Q161" s="141"/>
    </row>
    <row r="162" spans="1:19">
      <c r="A162" s="240" t="s">
        <v>434</v>
      </c>
      <c r="B162" s="241"/>
      <c r="C162" s="242"/>
      <c r="D162" s="243"/>
      <c r="E162" s="244"/>
      <c r="F162" s="244"/>
      <c r="G162" s="245">
        <f>+B162+C162+D162+E162+F162</f>
        <v>0</v>
      </c>
      <c r="H162" s="1024"/>
      <c r="I162" s="240" t="s">
        <v>434</v>
      </c>
      <c r="J162" s="241"/>
      <c r="K162" s="242"/>
      <c r="L162" s="243"/>
      <c r="M162" s="244"/>
      <c r="N162" s="244"/>
      <c r="O162" s="245">
        <f>+J162+K162+L162+M162+N162</f>
        <v>0</v>
      </c>
      <c r="P162" s="221"/>
      <c r="Q162" s="141"/>
      <c r="R162" s="141"/>
      <c r="S162" s="141"/>
    </row>
    <row r="163" spans="1:19">
      <c r="A163" s="240" t="s">
        <v>435</v>
      </c>
      <c r="B163" s="241"/>
      <c r="C163" s="242"/>
      <c r="D163" s="243"/>
      <c r="E163" s="244"/>
      <c r="F163" s="244"/>
      <c r="G163" s="245">
        <f>+B163+C163+D163+E163+F163</f>
        <v>0</v>
      </c>
      <c r="H163" s="1024"/>
      <c r="I163" s="240" t="s">
        <v>435</v>
      </c>
      <c r="J163" s="241"/>
      <c r="K163" s="242"/>
      <c r="L163" s="243"/>
      <c r="M163" s="244"/>
      <c r="N163" s="244"/>
      <c r="O163" s="245">
        <f>+J163+K163+L163+M163+N163</f>
        <v>0</v>
      </c>
      <c r="P163" s="221"/>
      <c r="Q163" s="141"/>
    </row>
    <row r="164" spans="1:19">
      <c r="A164" s="240" t="s">
        <v>436</v>
      </c>
      <c r="B164" s="241"/>
      <c r="C164" s="242"/>
      <c r="D164" s="243"/>
      <c r="E164" s="244"/>
      <c r="F164" s="244"/>
      <c r="G164" s="245">
        <f>+B164+C164+D164+E164+F164</f>
        <v>0</v>
      </c>
      <c r="H164" s="1024"/>
      <c r="I164" s="240" t="s">
        <v>436</v>
      </c>
      <c r="J164" s="241"/>
      <c r="K164" s="242"/>
      <c r="L164" s="243"/>
      <c r="M164" s="244"/>
      <c r="N164" s="244"/>
      <c r="O164" s="245">
        <f>+J164+K164+L164+M164+N164</f>
        <v>0</v>
      </c>
      <c r="P164" s="221"/>
      <c r="Q164" s="141"/>
    </row>
    <row r="165" spans="1:19" ht="12.75" thickBot="1">
      <c r="A165" s="240" t="s">
        <v>437</v>
      </c>
      <c r="B165" s="241"/>
      <c r="C165" s="242"/>
      <c r="D165" s="243"/>
      <c r="E165" s="244"/>
      <c r="F165" s="244"/>
      <c r="G165" s="245">
        <f>+B165+C165+D165+E165+F165</f>
        <v>0</v>
      </c>
      <c r="H165" s="1024"/>
      <c r="I165" s="240" t="s">
        <v>437</v>
      </c>
      <c r="J165" s="241"/>
      <c r="K165" s="242"/>
      <c r="L165" s="243"/>
      <c r="M165" s="244"/>
      <c r="N165" s="244"/>
      <c r="O165" s="245">
        <f>+J165+K165+L165+M165+N165</f>
        <v>0</v>
      </c>
      <c r="P165" s="221"/>
      <c r="Q165" s="141"/>
    </row>
    <row r="166" spans="1:19" ht="12.75" thickBot="1">
      <c r="A166" s="220" t="s">
        <v>438</v>
      </c>
      <c r="B166" s="246">
        <f t="shared" ref="B166:G166" si="51">+B160+B162+B163+B164+B165</f>
        <v>0</v>
      </c>
      <c r="C166" s="247">
        <f t="shared" si="51"/>
        <v>4509</v>
      </c>
      <c r="D166" s="248">
        <f t="shared" si="51"/>
        <v>0</v>
      </c>
      <c r="E166" s="246">
        <f t="shared" si="51"/>
        <v>0</v>
      </c>
      <c r="F166" s="246">
        <f t="shared" si="51"/>
        <v>0</v>
      </c>
      <c r="G166" s="247">
        <f t="shared" si="51"/>
        <v>4509</v>
      </c>
      <c r="H166" s="1024"/>
      <c r="I166" s="220" t="s">
        <v>438</v>
      </c>
      <c r="J166" s="246">
        <f t="shared" ref="J166:O166" si="52">+J160+J162+J163+J164+J165</f>
        <v>0</v>
      </c>
      <c r="K166" s="247">
        <f t="shared" si="52"/>
        <v>40360</v>
      </c>
      <c r="L166" s="248">
        <f t="shared" si="52"/>
        <v>0</v>
      </c>
      <c r="M166" s="246">
        <f t="shared" si="52"/>
        <v>0</v>
      </c>
      <c r="N166" s="246">
        <f t="shared" si="52"/>
        <v>0</v>
      </c>
      <c r="O166" s="247">
        <f t="shared" si="52"/>
        <v>40360</v>
      </c>
      <c r="P166" s="221"/>
    </row>
    <row r="167" spans="1:19" ht="12.75" thickBot="1">
      <c r="A167" s="249"/>
      <c r="B167" s="249"/>
      <c r="C167" s="249"/>
      <c r="D167" s="249"/>
      <c r="E167" s="249"/>
      <c r="F167" s="249"/>
      <c r="G167" s="249"/>
      <c r="H167" s="1024"/>
      <c r="I167" s="249"/>
      <c r="J167" s="249"/>
      <c r="K167" s="249"/>
      <c r="L167" s="249"/>
      <c r="M167" s="249"/>
      <c r="N167" s="249"/>
      <c r="O167" s="249"/>
      <c r="P167" s="249"/>
    </row>
    <row r="168" spans="1:19" s="1023" customFormat="1" ht="24.75" thickBot="1">
      <c r="A168" s="442" t="s">
        <v>439</v>
      </c>
      <c r="B168" s="443" t="s">
        <v>1449</v>
      </c>
      <c r="C168" s="227" t="s">
        <v>1442</v>
      </c>
      <c r="D168" s="422" t="s">
        <v>460</v>
      </c>
      <c r="E168" s="423" t="s">
        <v>461</v>
      </c>
      <c r="F168" s="423" t="s">
        <v>1450</v>
      </c>
      <c r="G168" s="1149" t="s">
        <v>18</v>
      </c>
      <c r="H168" s="1026"/>
      <c r="I168" s="442" t="s">
        <v>439</v>
      </c>
      <c r="J168" s="443" t="s">
        <v>1449</v>
      </c>
      <c r="K168" s="227" t="s">
        <v>1442</v>
      </c>
      <c r="L168" s="422" t="s">
        <v>460</v>
      </c>
      <c r="M168" s="423" t="s">
        <v>461</v>
      </c>
      <c r="N168" s="423" t="s">
        <v>1450</v>
      </c>
      <c r="O168" s="1149" t="s">
        <v>18</v>
      </c>
      <c r="P168" s="1007"/>
    </row>
    <row r="169" spans="1:19">
      <c r="A169" s="228" t="s">
        <v>445</v>
      </c>
      <c r="B169" s="229"/>
      <c r="C169" s="230"/>
      <c r="D169" s="231"/>
      <c r="E169" s="232"/>
      <c r="F169" s="232"/>
      <c r="G169" s="233">
        <f t="shared" ref="G169:G176" si="53">+B169+C169+D169+E169+F169</f>
        <v>0</v>
      </c>
      <c r="H169" s="1024"/>
      <c r="I169" s="228" t="s">
        <v>445</v>
      </c>
      <c r="J169" s="229"/>
      <c r="K169" s="230"/>
      <c r="L169" s="231"/>
      <c r="M169" s="232"/>
      <c r="N169" s="232"/>
      <c r="O169" s="233">
        <f t="shared" ref="O169:O176" si="54">+J169+K169+L169+M169+N169</f>
        <v>0</v>
      </c>
      <c r="P169" s="221"/>
      <c r="Q169" s="141"/>
      <c r="R169" s="141"/>
      <c r="S169" s="141"/>
    </row>
    <row r="170" spans="1:19">
      <c r="A170" s="250" t="s">
        <v>446</v>
      </c>
      <c r="B170" s="241"/>
      <c r="C170" s="242"/>
      <c r="D170" s="243"/>
      <c r="E170" s="244"/>
      <c r="F170" s="244"/>
      <c r="G170" s="245">
        <f t="shared" si="53"/>
        <v>0</v>
      </c>
      <c r="H170" s="1024"/>
      <c r="I170" s="250" t="s">
        <v>446</v>
      </c>
      <c r="J170" s="241"/>
      <c r="K170" s="242"/>
      <c r="L170" s="243"/>
      <c r="M170" s="244"/>
      <c r="N170" s="244"/>
      <c r="O170" s="245">
        <f t="shared" si="54"/>
        <v>0</v>
      </c>
      <c r="P170" s="221"/>
      <c r="Q170" s="141"/>
      <c r="R170" s="141"/>
      <c r="S170" s="141"/>
    </row>
    <row r="171" spans="1:19">
      <c r="A171" s="240" t="s">
        <v>447</v>
      </c>
      <c r="B171" s="241"/>
      <c r="C171" s="242"/>
      <c r="D171" s="243"/>
      <c r="E171" s="244"/>
      <c r="F171" s="244"/>
      <c r="G171" s="245">
        <f t="shared" si="53"/>
        <v>0</v>
      </c>
      <c r="H171" s="1024"/>
      <c r="I171" s="240" t="s">
        <v>447</v>
      </c>
      <c r="J171" s="241"/>
      <c r="K171" s="242"/>
      <c r="L171" s="243"/>
      <c r="M171" s="244"/>
      <c r="N171" s="244"/>
      <c r="O171" s="245">
        <f t="shared" si="54"/>
        <v>0</v>
      </c>
      <c r="P171" s="221"/>
      <c r="Q171" s="141"/>
      <c r="R171" s="141"/>
      <c r="S171" s="141"/>
    </row>
    <row r="172" spans="1:19">
      <c r="A172" s="240" t="s">
        <v>448</v>
      </c>
      <c r="B172" s="241"/>
      <c r="C172" s="242"/>
      <c r="D172" s="243"/>
      <c r="E172" s="244"/>
      <c r="F172" s="244"/>
      <c r="G172" s="245">
        <f t="shared" si="53"/>
        <v>0</v>
      </c>
      <c r="H172" s="1024"/>
      <c r="I172" s="240" t="s">
        <v>448</v>
      </c>
      <c r="J172" s="241"/>
      <c r="K172" s="242"/>
      <c r="L172" s="243"/>
      <c r="M172" s="244"/>
      <c r="N172" s="244"/>
      <c r="O172" s="245">
        <f t="shared" si="54"/>
        <v>0</v>
      </c>
      <c r="P172" s="221"/>
      <c r="Q172" s="141"/>
      <c r="S172" s="141"/>
    </row>
    <row r="173" spans="1:19">
      <c r="A173" s="251" t="s">
        <v>449</v>
      </c>
      <c r="B173" s="252"/>
      <c r="C173" s="242">
        <f>4497+12</f>
        <v>4509</v>
      </c>
      <c r="D173" s="243"/>
      <c r="E173" s="244"/>
      <c r="F173" s="244"/>
      <c r="G173" s="245">
        <f t="shared" si="53"/>
        <v>4509</v>
      </c>
      <c r="H173" s="1024"/>
      <c r="I173" s="251" t="s">
        <v>449</v>
      </c>
      <c r="J173" s="252"/>
      <c r="K173" s="242">
        <v>40360</v>
      </c>
      <c r="L173" s="243"/>
      <c r="M173" s="244"/>
      <c r="N173" s="244"/>
      <c r="O173" s="245">
        <f t="shared" si="54"/>
        <v>40360</v>
      </c>
      <c r="P173" s="221"/>
      <c r="Q173" s="141"/>
      <c r="R173" s="141"/>
      <c r="S173" s="141"/>
    </row>
    <row r="174" spans="1:19">
      <c r="A174" s="251" t="s">
        <v>450</v>
      </c>
      <c r="B174" s="252"/>
      <c r="C174" s="242"/>
      <c r="D174" s="243"/>
      <c r="E174" s="244"/>
      <c r="F174" s="244"/>
      <c r="G174" s="245">
        <f t="shared" si="53"/>
        <v>0</v>
      </c>
      <c r="H174" s="1024"/>
      <c r="I174" s="251" t="s">
        <v>450</v>
      </c>
      <c r="J174" s="252"/>
      <c r="K174" s="242"/>
      <c r="L174" s="243"/>
      <c r="M174" s="244"/>
      <c r="N174" s="244"/>
      <c r="O174" s="245">
        <f t="shared" si="54"/>
        <v>0</v>
      </c>
      <c r="P174" s="221"/>
      <c r="Q174" s="141"/>
      <c r="R174" s="141"/>
      <c r="S174" s="141"/>
    </row>
    <row r="175" spans="1:19">
      <c r="A175" s="253" t="s">
        <v>451</v>
      </c>
      <c r="B175" s="254"/>
      <c r="C175" s="255"/>
      <c r="D175" s="256"/>
      <c r="E175" s="257"/>
      <c r="F175" s="257"/>
      <c r="G175" s="245">
        <f t="shared" si="53"/>
        <v>0</v>
      </c>
      <c r="H175" s="1024"/>
      <c r="I175" s="253" t="s">
        <v>451</v>
      </c>
      <c r="J175" s="254"/>
      <c r="K175" s="255"/>
      <c r="L175" s="243"/>
      <c r="M175" s="257"/>
      <c r="N175" s="257"/>
      <c r="O175" s="245">
        <f t="shared" si="54"/>
        <v>0</v>
      </c>
      <c r="P175" s="221"/>
      <c r="Q175" s="141"/>
      <c r="R175" s="141"/>
      <c r="S175" s="141"/>
    </row>
    <row r="176" spans="1:19" ht="12.75" thickBot="1">
      <c r="A176" s="253" t="s">
        <v>452</v>
      </c>
      <c r="B176" s="254"/>
      <c r="C176" s="255"/>
      <c r="D176" s="256"/>
      <c r="E176" s="257"/>
      <c r="F176" s="257"/>
      <c r="G176" s="245">
        <f t="shared" si="53"/>
        <v>0</v>
      </c>
      <c r="H176" s="1024"/>
      <c r="I176" s="253" t="s">
        <v>452</v>
      </c>
      <c r="J176" s="254"/>
      <c r="K176" s="255"/>
      <c r="L176" s="256"/>
      <c r="M176" s="257"/>
      <c r="N176" s="257"/>
      <c r="O176" s="245">
        <f t="shared" si="54"/>
        <v>0</v>
      </c>
      <c r="P176" s="221"/>
      <c r="Q176" s="141"/>
      <c r="R176" s="141"/>
      <c r="S176" s="141"/>
    </row>
    <row r="177" spans="1:19" ht="12.75" thickBot="1">
      <c r="A177" s="220" t="s">
        <v>453</v>
      </c>
      <c r="B177" s="246">
        <f t="shared" ref="B177:G177" si="55">+B169+B170+B171+B172+B173+B174+B175+B176</f>
        <v>0</v>
      </c>
      <c r="C177" s="247">
        <f t="shared" si="55"/>
        <v>4509</v>
      </c>
      <c r="D177" s="248">
        <f t="shared" si="55"/>
        <v>0</v>
      </c>
      <c r="E177" s="246">
        <f t="shared" si="55"/>
        <v>0</v>
      </c>
      <c r="F177" s="246">
        <f t="shared" si="55"/>
        <v>0</v>
      </c>
      <c r="G177" s="247">
        <f t="shared" si="55"/>
        <v>4509</v>
      </c>
      <c r="I177" s="220" t="s">
        <v>453</v>
      </c>
      <c r="J177" s="246">
        <f t="shared" ref="J177:O177" si="56">+J169+J170+J171+J172+J173+J174+J175+J176</f>
        <v>0</v>
      </c>
      <c r="K177" s="247">
        <f t="shared" si="56"/>
        <v>40360</v>
      </c>
      <c r="L177" s="248">
        <f t="shared" si="56"/>
        <v>0</v>
      </c>
      <c r="M177" s="246">
        <f t="shared" si="56"/>
        <v>0</v>
      </c>
      <c r="N177" s="246">
        <f t="shared" si="56"/>
        <v>0</v>
      </c>
      <c r="O177" s="247">
        <f t="shared" si="56"/>
        <v>40360</v>
      </c>
      <c r="P177" s="221"/>
      <c r="R177" s="1024"/>
    </row>
    <row r="178" spans="1:19">
      <c r="A178" s="221"/>
      <c r="B178" s="221"/>
      <c r="C178" s="221"/>
      <c r="D178" s="221"/>
      <c r="E178" s="221"/>
      <c r="F178" s="221"/>
      <c r="G178" s="221"/>
      <c r="H178" s="1024"/>
      <c r="I178" s="221"/>
      <c r="J178" s="221"/>
      <c r="K178" s="221"/>
      <c r="L178" s="221"/>
      <c r="M178" s="221"/>
      <c r="N178" s="221"/>
      <c r="O178" s="221"/>
      <c r="P178" s="221"/>
    </row>
    <row r="180" spans="1:19" s="1017" customFormat="1" ht="15.75">
      <c r="A180" s="219" t="s">
        <v>1381</v>
      </c>
      <c r="B180" s="1147" t="s">
        <v>1393</v>
      </c>
      <c r="C180" s="1147"/>
      <c r="D180" s="1147"/>
      <c r="E180" s="1147"/>
      <c r="F180" s="1147"/>
      <c r="G180" s="1147"/>
      <c r="H180" s="910"/>
      <c r="I180" s="219" t="s">
        <v>1382</v>
      </c>
      <c r="J180" s="1147" t="s">
        <v>1526</v>
      </c>
      <c r="K180" s="1147"/>
      <c r="L180" s="1147"/>
      <c r="M180" s="1147"/>
      <c r="N180" s="1147"/>
      <c r="O180" s="1147"/>
      <c r="P180" s="1147"/>
    </row>
    <row r="181" spans="1:19" s="1017" customFormat="1" ht="15.75" customHeight="1">
      <c r="A181" s="1159" t="s">
        <v>1394</v>
      </c>
      <c r="B181" s="1159"/>
      <c r="C181" s="1159"/>
      <c r="D181" s="1159"/>
      <c r="E181" s="1159"/>
      <c r="F181" s="1159"/>
      <c r="G181" s="1159"/>
      <c r="H181" s="910"/>
      <c r="I181" s="1159" t="s">
        <v>1395</v>
      </c>
      <c r="J181" s="1159"/>
      <c r="K181" s="1159"/>
      <c r="L181" s="1159"/>
      <c r="M181" s="1159"/>
      <c r="N181" s="1159"/>
      <c r="O181" s="1159"/>
      <c r="P181" s="1140"/>
    </row>
    <row r="182" spans="1:19" s="1017" customFormat="1" ht="15.75">
      <c r="A182" s="1236" t="s">
        <v>1109</v>
      </c>
      <c r="B182" s="1236"/>
      <c r="C182" s="1236"/>
      <c r="D182" s="1236"/>
      <c r="E182" s="1236"/>
      <c r="F182" s="1236"/>
      <c r="G182" s="1236"/>
      <c r="H182" s="910"/>
      <c r="I182" s="1236" t="s">
        <v>1109</v>
      </c>
      <c r="J182" s="1236"/>
      <c r="K182" s="1236"/>
      <c r="L182" s="1236"/>
      <c r="M182" s="1236"/>
      <c r="N182" s="1236"/>
      <c r="O182" s="1236"/>
      <c r="P182" s="1146"/>
    </row>
    <row r="183" spans="1:19" s="1020" customFormat="1" ht="12.75" thickBot="1">
      <c r="A183" s="1019"/>
      <c r="B183" s="1019"/>
      <c r="D183" s="1019"/>
      <c r="E183" s="1019"/>
      <c r="G183" s="269" t="s">
        <v>280</v>
      </c>
      <c r="H183" s="1021"/>
      <c r="I183" s="1019"/>
      <c r="J183" s="1019"/>
      <c r="K183" s="1019"/>
      <c r="L183" s="1019"/>
      <c r="M183" s="1019"/>
      <c r="O183" s="269" t="s">
        <v>280</v>
      </c>
      <c r="P183" s="1006"/>
    </row>
    <row r="184" spans="1:19" s="1023" customFormat="1" ht="24.75" thickBot="1">
      <c r="A184" s="442" t="s">
        <v>431</v>
      </c>
      <c r="B184" s="443" t="s">
        <v>1449</v>
      </c>
      <c r="C184" s="227" t="s">
        <v>1442</v>
      </c>
      <c r="D184" s="422" t="s">
        <v>460</v>
      </c>
      <c r="E184" s="423" t="s">
        <v>461</v>
      </c>
      <c r="F184" s="423" t="s">
        <v>1450</v>
      </c>
      <c r="G184" s="1149" t="s">
        <v>18</v>
      </c>
      <c r="H184" s="1026"/>
      <c r="I184" s="442" t="s">
        <v>431</v>
      </c>
      <c r="J184" s="443" t="s">
        <v>1449</v>
      </c>
      <c r="K184" s="227" t="s">
        <v>1442</v>
      </c>
      <c r="L184" s="422" t="s">
        <v>460</v>
      </c>
      <c r="M184" s="423" t="s">
        <v>461</v>
      </c>
      <c r="N184" s="423" t="s">
        <v>1450</v>
      </c>
      <c r="O184" s="1149" t="s">
        <v>18</v>
      </c>
      <c r="P184" s="1007"/>
    </row>
    <row r="185" spans="1:19">
      <c r="A185" s="228" t="s">
        <v>432</v>
      </c>
      <c r="B185" s="229">
        <f t="shared" ref="B185:G185" si="57">+B202-B190-B189-B188-B187</f>
        <v>0</v>
      </c>
      <c r="C185" s="230">
        <f t="shared" si="57"/>
        <v>67673</v>
      </c>
      <c r="D185" s="231">
        <f t="shared" si="57"/>
        <v>0</v>
      </c>
      <c r="E185" s="232">
        <f t="shared" si="57"/>
        <v>0</v>
      </c>
      <c r="F185" s="232">
        <f t="shared" si="57"/>
        <v>0</v>
      </c>
      <c r="G185" s="233">
        <f t="shared" si="57"/>
        <v>67673</v>
      </c>
      <c r="H185" s="1024"/>
      <c r="I185" s="228" t="s">
        <v>432</v>
      </c>
      <c r="J185" s="229">
        <f t="shared" ref="J185:O185" si="58">+J202-J190-J189-J188-J187</f>
        <v>0</v>
      </c>
      <c r="K185" s="230">
        <f t="shared" si="58"/>
        <v>7553</v>
      </c>
      <c r="L185" s="231">
        <f t="shared" si="58"/>
        <v>0</v>
      </c>
      <c r="M185" s="232">
        <f t="shared" si="58"/>
        <v>0</v>
      </c>
      <c r="N185" s="232">
        <f t="shared" si="58"/>
        <v>0</v>
      </c>
      <c r="O185" s="233">
        <f t="shared" si="58"/>
        <v>7553</v>
      </c>
      <c r="P185" s="221"/>
    </row>
    <row r="186" spans="1:19">
      <c r="A186" s="234" t="s">
        <v>433</v>
      </c>
      <c r="B186" s="235"/>
      <c r="C186" s="236"/>
      <c r="D186" s="237"/>
      <c r="E186" s="238"/>
      <c r="F186" s="238"/>
      <c r="G186" s="239">
        <f>+B186+C186+D186+E186+F186</f>
        <v>0</v>
      </c>
      <c r="H186" s="1024"/>
      <c r="I186" s="234" t="s">
        <v>433</v>
      </c>
      <c r="J186" s="235"/>
      <c r="K186" s="236"/>
      <c r="L186" s="237"/>
      <c r="M186" s="238"/>
      <c r="N186" s="238"/>
      <c r="O186" s="239">
        <f>+J186+K186+L186+M186+N186</f>
        <v>0</v>
      </c>
      <c r="P186" s="1008"/>
      <c r="Q186" s="141"/>
    </row>
    <row r="187" spans="1:19">
      <c r="A187" s="240" t="s">
        <v>434</v>
      </c>
      <c r="B187" s="241"/>
      <c r="C187" s="242"/>
      <c r="D187" s="243"/>
      <c r="E187" s="244"/>
      <c r="F187" s="244"/>
      <c r="G187" s="245">
        <f>+B187+C187+D187+E187+F187</f>
        <v>0</v>
      </c>
      <c r="H187" s="1024"/>
      <c r="I187" s="240" t="s">
        <v>434</v>
      </c>
      <c r="J187" s="241"/>
      <c r="K187" s="242"/>
      <c r="L187" s="243"/>
      <c r="M187" s="244"/>
      <c r="N187" s="244"/>
      <c r="O187" s="245">
        <f>+J187+K187+L187+M187+N187</f>
        <v>0</v>
      </c>
      <c r="P187" s="221"/>
      <c r="Q187" s="141"/>
      <c r="R187" s="141"/>
      <c r="S187" s="141"/>
    </row>
    <row r="188" spans="1:19">
      <c r="A188" s="240" t="s">
        <v>435</v>
      </c>
      <c r="B188" s="241"/>
      <c r="C188" s="242"/>
      <c r="D188" s="243"/>
      <c r="E188" s="244"/>
      <c r="F188" s="244"/>
      <c r="G188" s="245">
        <f>+B188+C188+D188+E188+F188</f>
        <v>0</v>
      </c>
      <c r="H188" s="1024"/>
      <c r="I188" s="240" t="s">
        <v>435</v>
      </c>
      <c r="J188" s="241"/>
      <c r="K188" s="242"/>
      <c r="L188" s="243"/>
      <c r="M188" s="244"/>
      <c r="N188" s="244"/>
      <c r="O188" s="245">
        <f>+J188+K188+L188+M188+N188</f>
        <v>0</v>
      </c>
      <c r="P188" s="221"/>
      <c r="Q188" s="141"/>
    </row>
    <row r="189" spans="1:19">
      <c r="A189" s="240" t="s">
        <v>436</v>
      </c>
      <c r="B189" s="241"/>
      <c r="C189" s="242"/>
      <c r="D189" s="243"/>
      <c r="E189" s="244"/>
      <c r="F189" s="244"/>
      <c r="G189" s="245">
        <f>+B189+C189+D189+E189+F189</f>
        <v>0</v>
      </c>
      <c r="H189" s="1024"/>
      <c r="I189" s="240" t="s">
        <v>436</v>
      </c>
      <c r="J189" s="241"/>
      <c r="K189" s="242"/>
      <c r="L189" s="243"/>
      <c r="M189" s="244"/>
      <c r="N189" s="244"/>
      <c r="O189" s="245">
        <f>+J189+K189+L189+M189+N189</f>
        <v>0</v>
      </c>
      <c r="P189" s="221"/>
      <c r="Q189" s="141"/>
    </row>
    <row r="190" spans="1:19" ht="12.75" thickBot="1">
      <c r="A190" s="240" t="s">
        <v>437</v>
      </c>
      <c r="B190" s="241"/>
      <c r="C190" s="242"/>
      <c r="D190" s="243"/>
      <c r="E190" s="244"/>
      <c r="F190" s="244"/>
      <c r="G190" s="245">
        <f>+B190+C190+D190+E190+F190</f>
        <v>0</v>
      </c>
      <c r="H190" s="1024"/>
      <c r="I190" s="240" t="s">
        <v>437</v>
      </c>
      <c r="J190" s="241"/>
      <c r="K190" s="242"/>
      <c r="L190" s="243"/>
      <c r="M190" s="244"/>
      <c r="N190" s="244"/>
      <c r="O190" s="245">
        <f>+J190+K190+L190+M190+N190</f>
        <v>0</v>
      </c>
      <c r="P190" s="221"/>
      <c r="Q190" s="141"/>
    </row>
    <row r="191" spans="1:19" ht="12.75" thickBot="1">
      <c r="A191" s="220" t="s">
        <v>438</v>
      </c>
      <c r="B191" s="246">
        <f t="shared" ref="B191:G191" si="59">+B185+B187+B188+B189+B190</f>
        <v>0</v>
      </c>
      <c r="C191" s="247">
        <f t="shared" si="59"/>
        <v>67673</v>
      </c>
      <c r="D191" s="248">
        <f t="shared" si="59"/>
        <v>0</v>
      </c>
      <c r="E191" s="246">
        <f t="shared" si="59"/>
        <v>0</v>
      </c>
      <c r="F191" s="246">
        <f t="shared" si="59"/>
        <v>0</v>
      </c>
      <c r="G191" s="247">
        <f t="shared" si="59"/>
        <v>67673</v>
      </c>
      <c r="H191" s="1024"/>
      <c r="I191" s="220" t="s">
        <v>438</v>
      </c>
      <c r="J191" s="246">
        <f t="shared" ref="J191:O191" si="60">+J185+J187+J188+J189+J190</f>
        <v>0</v>
      </c>
      <c r="K191" s="247">
        <f t="shared" si="60"/>
        <v>7553</v>
      </c>
      <c r="L191" s="248">
        <f t="shared" si="60"/>
        <v>0</v>
      </c>
      <c r="M191" s="246">
        <f t="shared" si="60"/>
        <v>0</v>
      </c>
      <c r="N191" s="246">
        <f t="shared" si="60"/>
        <v>0</v>
      </c>
      <c r="O191" s="247">
        <f t="shared" si="60"/>
        <v>7553</v>
      </c>
      <c r="P191" s="221"/>
    </row>
    <row r="192" spans="1:19" ht="12.75" thickBot="1">
      <c r="A192" s="249"/>
      <c r="B192" s="249"/>
      <c r="C192" s="249"/>
      <c r="D192" s="249"/>
      <c r="E192" s="249"/>
      <c r="F192" s="249"/>
      <c r="G192" s="249"/>
      <c r="H192" s="1024"/>
      <c r="I192" s="249"/>
      <c r="J192" s="249"/>
      <c r="K192" s="249"/>
      <c r="L192" s="249"/>
      <c r="M192" s="249"/>
      <c r="N192" s="249"/>
      <c r="O192" s="249"/>
      <c r="P192" s="249"/>
    </row>
    <row r="193" spans="1:19" s="1023" customFormat="1" ht="24.75" thickBot="1">
      <c r="A193" s="442" t="s">
        <v>439</v>
      </c>
      <c r="B193" s="443" t="s">
        <v>1449</v>
      </c>
      <c r="C193" s="227" t="s">
        <v>1442</v>
      </c>
      <c r="D193" s="422" t="s">
        <v>460</v>
      </c>
      <c r="E193" s="423" t="s">
        <v>461</v>
      </c>
      <c r="F193" s="423" t="s">
        <v>1450</v>
      </c>
      <c r="G193" s="1149" t="s">
        <v>18</v>
      </c>
      <c r="H193" s="1026"/>
      <c r="I193" s="442" t="s">
        <v>439</v>
      </c>
      <c r="J193" s="443" t="s">
        <v>1449</v>
      </c>
      <c r="K193" s="227" t="s">
        <v>1442</v>
      </c>
      <c r="L193" s="422" t="s">
        <v>460</v>
      </c>
      <c r="M193" s="423" t="s">
        <v>461</v>
      </c>
      <c r="N193" s="423" t="s">
        <v>1450</v>
      </c>
      <c r="O193" s="1149" t="s">
        <v>18</v>
      </c>
      <c r="P193" s="1007"/>
    </row>
    <row r="194" spans="1:19">
      <c r="A194" s="228" t="s">
        <v>445</v>
      </c>
      <c r="B194" s="229"/>
      <c r="C194" s="230"/>
      <c r="D194" s="231"/>
      <c r="E194" s="232"/>
      <c r="F194" s="232"/>
      <c r="G194" s="233">
        <f t="shared" ref="G194:G201" si="61">+B194+C194+D194+E194+F194</f>
        <v>0</v>
      </c>
      <c r="H194" s="1024"/>
      <c r="I194" s="228" t="s">
        <v>445</v>
      </c>
      <c r="J194" s="229"/>
      <c r="K194" s="230"/>
      <c r="L194" s="231"/>
      <c r="M194" s="232"/>
      <c r="N194" s="232"/>
      <c r="O194" s="233">
        <f t="shared" ref="O194:O201" si="62">+J194+K194+L194+M194+N194</f>
        <v>0</v>
      </c>
      <c r="P194" s="221"/>
      <c r="Q194" s="141"/>
      <c r="R194" s="141"/>
      <c r="S194" s="141"/>
    </row>
    <row r="195" spans="1:19">
      <c r="A195" s="250" t="s">
        <v>446</v>
      </c>
      <c r="B195" s="241"/>
      <c r="C195" s="242"/>
      <c r="D195" s="243"/>
      <c r="E195" s="244"/>
      <c r="F195" s="244"/>
      <c r="G195" s="245">
        <f t="shared" si="61"/>
        <v>0</v>
      </c>
      <c r="H195" s="1024"/>
      <c r="I195" s="250" t="s">
        <v>446</v>
      </c>
      <c r="J195" s="241"/>
      <c r="K195" s="242"/>
      <c r="L195" s="243"/>
      <c r="M195" s="244"/>
      <c r="N195" s="244"/>
      <c r="O195" s="245">
        <f t="shared" si="62"/>
        <v>0</v>
      </c>
      <c r="P195" s="221"/>
      <c r="Q195" s="141"/>
      <c r="R195" s="141"/>
      <c r="S195" s="141"/>
    </row>
    <row r="196" spans="1:19">
      <c r="A196" s="240" t="s">
        <v>447</v>
      </c>
      <c r="B196" s="241"/>
      <c r="C196" s="242"/>
      <c r="D196" s="243"/>
      <c r="E196" s="244"/>
      <c r="F196" s="244"/>
      <c r="G196" s="245">
        <f t="shared" si="61"/>
        <v>0</v>
      </c>
      <c r="H196" s="1024"/>
      <c r="I196" s="240" t="s">
        <v>447</v>
      </c>
      <c r="J196" s="241"/>
      <c r="K196" s="242"/>
      <c r="L196" s="243"/>
      <c r="M196" s="244"/>
      <c r="N196" s="244"/>
      <c r="O196" s="245">
        <f t="shared" si="62"/>
        <v>0</v>
      </c>
      <c r="P196" s="221"/>
      <c r="Q196" s="141"/>
      <c r="R196" s="141"/>
      <c r="S196" s="141"/>
    </row>
    <row r="197" spans="1:19">
      <c r="A197" s="240" t="s">
        <v>448</v>
      </c>
      <c r="B197" s="241"/>
      <c r="C197" s="242"/>
      <c r="D197" s="243"/>
      <c r="E197" s="244"/>
      <c r="F197" s="244"/>
      <c r="G197" s="245">
        <f t="shared" si="61"/>
        <v>0</v>
      </c>
      <c r="H197" s="1024"/>
      <c r="I197" s="240" t="s">
        <v>448</v>
      </c>
      <c r="J197" s="241"/>
      <c r="K197" s="242"/>
      <c r="L197" s="243"/>
      <c r="M197" s="244"/>
      <c r="N197" s="244"/>
      <c r="O197" s="245">
        <f t="shared" si="62"/>
        <v>0</v>
      </c>
      <c r="P197" s="221"/>
      <c r="Q197" s="141"/>
      <c r="S197" s="141"/>
    </row>
    <row r="198" spans="1:19">
      <c r="A198" s="251" t="s">
        <v>449</v>
      </c>
      <c r="B198" s="252"/>
      <c r="C198" s="242">
        <v>67673</v>
      </c>
      <c r="D198" s="243"/>
      <c r="E198" s="244"/>
      <c r="F198" s="244"/>
      <c r="G198" s="245">
        <f t="shared" si="61"/>
        <v>67673</v>
      </c>
      <c r="H198" s="1024"/>
      <c r="I198" s="251" t="s">
        <v>449</v>
      </c>
      <c r="J198" s="252"/>
      <c r="K198" s="242">
        <v>7553</v>
      </c>
      <c r="L198" s="243"/>
      <c r="M198" s="244"/>
      <c r="N198" s="244"/>
      <c r="O198" s="245">
        <f t="shared" si="62"/>
        <v>7553</v>
      </c>
      <c r="P198" s="221"/>
      <c r="Q198" s="141"/>
      <c r="R198" s="141"/>
      <c r="S198" s="141"/>
    </row>
    <row r="199" spans="1:19">
      <c r="A199" s="251" t="s">
        <v>450</v>
      </c>
      <c r="B199" s="252"/>
      <c r="C199" s="242"/>
      <c r="D199" s="243"/>
      <c r="E199" s="244"/>
      <c r="F199" s="244"/>
      <c r="G199" s="245">
        <f t="shared" si="61"/>
        <v>0</v>
      </c>
      <c r="H199" s="1024"/>
      <c r="I199" s="251" t="s">
        <v>450</v>
      </c>
      <c r="J199" s="252"/>
      <c r="K199" s="242"/>
      <c r="L199" s="243"/>
      <c r="M199" s="244"/>
      <c r="N199" s="244"/>
      <c r="O199" s="245">
        <f t="shared" si="62"/>
        <v>0</v>
      </c>
      <c r="P199" s="221"/>
      <c r="Q199" s="141"/>
      <c r="R199" s="141"/>
      <c r="S199" s="141"/>
    </row>
    <row r="200" spans="1:19">
      <c r="A200" s="253" t="s">
        <v>451</v>
      </c>
      <c r="B200" s="254"/>
      <c r="C200" s="255"/>
      <c r="D200" s="256"/>
      <c r="E200" s="257"/>
      <c r="F200" s="257"/>
      <c r="G200" s="245">
        <f t="shared" si="61"/>
        <v>0</v>
      </c>
      <c r="H200" s="1024"/>
      <c r="I200" s="253" t="s">
        <v>451</v>
      </c>
      <c r="J200" s="254"/>
      <c r="K200" s="255"/>
      <c r="L200" s="243"/>
      <c r="M200" s="257"/>
      <c r="N200" s="257"/>
      <c r="O200" s="245">
        <f t="shared" si="62"/>
        <v>0</v>
      </c>
      <c r="P200" s="221"/>
      <c r="Q200" s="141"/>
      <c r="R200" s="141"/>
      <c r="S200" s="141"/>
    </row>
    <row r="201" spans="1:19" ht="12.75" thickBot="1">
      <c r="A201" s="253" t="s">
        <v>452</v>
      </c>
      <c r="B201" s="254"/>
      <c r="C201" s="255"/>
      <c r="D201" s="256"/>
      <c r="E201" s="257"/>
      <c r="F201" s="257"/>
      <c r="G201" s="245">
        <f t="shared" si="61"/>
        <v>0</v>
      </c>
      <c r="H201" s="1024"/>
      <c r="I201" s="253" t="s">
        <v>452</v>
      </c>
      <c r="J201" s="254"/>
      <c r="K201" s="255"/>
      <c r="L201" s="256"/>
      <c r="M201" s="257"/>
      <c r="N201" s="257"/>
      <c r="O201" s="245">
        <f t="shared" si="62"/>
        <v>0</v>
      </c>
      <c r="P201" s="221"/>
      <c r="Q201" s="141"/>
      <c r="R201" s="141"/>
      <c r="S201" s="141"/>
    </row>
    <row r="202" spans="1:19" ht="12.75" thickBot="1">
      <c r="A202" s="220" t="s">
        <v>453</v>
      </c>
      <c r="B202" s="246">
        <f t="shared" ref="B202:G202" si="63">+B194+B195+B196+B197+B198+B199+B200+B201</f>
        <v>0</v>
      </c>
      <c r="C202" s="247">
        <f t="shared" si="63"/>
        <v>67673</v>
      </c>
      <c r="D202" s="248">
        <f t="shared" si="63"/>
        <v>0</v>
      </c>
      <c r="E202" s="246">
        <f t="shared" si="63"/>
        <v>0</v>
      </c>
      <c r="F202" s="246">
        <f t="shared" si="63"/>
        <v>0</v>
      </c>
      <c r="G202" s="247">
        <f t="shared" si="63"/>
        <v>67673</v>
      </c>
      <c r="I202" s="220" t="s">
        <v>453</v>
      </c>
      <c r="J202" s="246">
        <f t="shared" ref="J202:O202" si="64">+J194+J195+J196+J197+J198+J199+J200+J201</f>
        <v>0</v>
      </c>
      <c r="K202" s="247">
        <f t="shared" si="64"/>
        <v>7553</v>
      </c>
      <c r="L202" s="248">
        <f t="shared" si="64"/>
        <v>0</v>
      </c>
      <c r="M202" s="246">
        <f t="shared" si="64"/>
        <v>0</v>
      </c>
      <c r="N202" s="246">
        <f t="shared" si="64"/>
        <v>0</v>
      </c>
      <c r="O202" s="247">
        <f t="shared" si="64"/>
        <v>7553</v>
      </c>
      <c r="P202" s="221"/>
      <c r="R202" s="1024"/>
    </row>
    <row r="203" spans="1:19">
      <c r="A203" s="221"/>
      <c r="B203" s="221"/>
      <c r="C203" s="221"/>
      <c r="D203" s="221"/>
      <c r="E203" s="221"/>
      <c r="F203" s="221"/>
      <c r="G203" s="221"/>
      <c r="H203" s="1024"/>
      <c r="I203" s="221"/>
      <c r="J203" s="221"/>
      <c r="K203" s="221"/>
      <c r="L203" s="221"/>
      <c r="M203" s="221"/>
      <c r="N203" s="221"/>
      <c r="O203" s="221"/>
      <c r="P203" s="221"/>
    </row>
    <row r="205" spans="1:19" s="1017" customFormat="1" ht="15.75">
      <c r="A205" s="219" t="s">
        <v>1383</v>
      </c>
      <c r="B205" s="1147" t="s">
        <v>1396</v>
      </c>
      <c r="C205" s="1147"/>
      <c r="D205" s="1147"/>
      <c r="E205" s="1147"/>
      <c r="F205" s="1147"/>
      <c r="G205" s="1147"/>
      <c r="H205" s="910"/>
      <c r="I205" s="219" t="s">
        <v>1384</v>
      </c>
      <c r="J205" s="1147" t="s">
        <v>1398</v>
      </c>
      <c r="K205" s="1147"/>
      <c r="L205" s="1147"/>
      <c r="M205" s="1147"/>
      <c r="N205" s="1147"/>
      <c r="O205" s="1147"/>
      <c r="P205" s="1147"/>
    </row>
    <row r="206" spans="1:19" s="1017" customFormat="1" ht="15.75" customHeight="1">
      <c r="A206" s="1159" t="s">
        <v>1397</v>
      </c>
      <c r="B206" s="1159"/>
      <c r="C206" s="1159"/>
      <c r="D206" s="1159"/>
      <c r="E206" s="1159"/>
      <c r="F206" s="1159"/>
      <c r="G206" s="1159"/>
      <c r="H206" s="910"/>
      <c r="I206" s="1159" t="s">
        <v>1399</v>
      </c>
      <c r="J206" s="1159"/>
      <c r="K206" s="1159"/>
      <c r="L206" s="1159"/>
      <c r="M206" s="1159"/>
      <c r="N206" s="1159"/>
      <c r="O206" s="1159"/>
      <c r="P206" s="1140"/>
    </row>
    <row r="207" spans="1:19" s="1017" customFormat="1" ht="15.75">
      <c r="A207" s="1236" t="s">
        <v>1109</v>
      </c>
      <c r="B207" s="1236"/>
      <c r="C207" s="1236"/>
      <c r="D207" s="1236"/>
      <c r="E207" s="1236"/>
      <c r="F207" s="1236"/>
      <c r="G207" s="1236"/>
      <c r="H207" s="910"/>
      <c r="I207" s="1236" t="s">
        <v>1109</v>
      </c>
      <c r="J207" s="1236"/>
      <c r="K207" s="1236"/>
      <c r="L207" s="1236"/>
      <c r="M207" s="1236"/>
      <c r="N207" s="1236"/>
      <c r="O207" s="1236"/>
      <c r="P207" s="1146"/>
    </row>
    <row r="208" spans="1:19" s="1020" customFormat="1" ht="12.75" thickBot="1">
      <c r="A208" s="1019"/>
      <c r="B208" s="1019"/>
      <c r="D208" s="1019"/>
      <c r="E208" s="1019"/>
      <c r="G208" s="269" t="s">
        <v>280</v>
      </c>
      <c r="H208" s="1021"/>
      <c r="I208" s="1019"/>
      <c r="J208" s="1019"/>
      <c r="K208" s="1019"/>
      <c r="L208" s="1019"/>
      <c r="M208" s="1019"/>
      <c r="O208" s="269" t="s">
        <v>280</v>
      </c>
      <c r="P208" s="1006"/>
    </row>
    <row r="209" spans="1:19" s="1023" customFormat="1" ht="24.75" thickBot="1">
      <c r="A209" s="442" t="s">
        <v>431</v>
      </c>
      <c r="B209" s="443" t="s">
        <v>1449</v>
      </c>
      <c r="C209" s="227" t="s">
        <v>1442</v>
      </c>
      <c r="D209" s="422" t="s">
        <v>460</v>
      </c>
      <c r="E209" s="423" t="s">
        <v>461</v>
      </c>
      <c r="F209" s="423" t="s">
        <v>1450</v>
      </c>
      <c r="G209" s="1149" t="s">
        <v>18</v>
      </c>
      <c r="H209" s="1026"/>
      <c r="I209" s="442" t="s">
        <v>431</v>
      </c>
      <c r="J209" s="443" t="s">
        <v>1449</v>
      </c>
      <c r="K209" s="227" t="s">
        <v>1442</v>
      </c>
      <c r="L209" s="422" t="s">
        <v>460</v>
      </c>
      <c r="M209" s="423" t="s">
        <v>461</v>
      </c>
      <c r="N209" s="423" t="s">
        <v>1450</v>
      </c>
      <c r="O209" s="1149" t="s">
        <v>18</v>
      </c>
      <c r="P209" s="1007"/>
    </row>
    <row r="210" spans="1:19">
      <c r="A210" s="228" t="s">
        <v>432</v>
      </c>
      <c r="B210" s="229">
        <f t="shared" ref="B210:G210" si="65">+B227-B215-B214-B213-B212</f>
        <v>0</v>
      </c>
      <c r="C210" s="230">
        <f t="shared" si="65"/>
        <v>2976</v>
      </c>
      <c r="D210" s="231">
        <f t="shared" si="65"/>
        <v>0</v>
      </c>
      <c r="E210" s="232">
        <f t="shared" si="65"/>
        <v>0</v>
      </c>
      <c r="F210" s="232">
        <f t="shared" si="65"/>
        <v>0</v>
      </c>
      <c r="G210" s="233">
        <f t="shared" si="65"/>
        <v>2976</v>
      </c>
      <c r="H210" s="1024"/>
      <c r="I210" s="228" t="s">
        <v>432</v>
      </c>
      <c r="J210" s="229">
        <f t="shared" ref="J210:O210" si="66">+J227-J215-J214-J213-J212</f>
        <v>0</v>
      </c>
      <c r="K210" s="230">
        <f t="shared" si="66"/>
        <v>10672</v>
      </c>
      <c r="L210" s="231">
        <f t="shared" si="66"/>
        <v>0</v>
      </c>
      <c r="M210" s="232">
        <f t="shared" si="66"/>
        <v>0</v>
      </c>
      <c r="N210" s="232">
        <f t="shared" si="66"/>
        <v>0</v>
      </c>
      <c r="O210" s="233">
        <f t="shared" si="66"/>
        <v>10672</v>
      </c>
      <c r="P210" s="221"/>
    </row>
    <row r="211" spans="1:19">
      <c r="A211" s="234" t="s">
        <v>433</v>
      </c>
      <c r="B211" s="235"/>
      <c r="C211" s="236"/>
      <c r="D211" s="237"/>
      <c r="E211" s="238"/>
      <c r="F211" s="238"/>
      <c r="G211" s="239">
        <f>+B211+C211+D211+E211+F211</f>
        <v>0</v>
      </c>
      <c r="H211" s="1024"/>
      <c r="I211" s="234" t="s">
        <v>433</v>
      </c>
      <c r="J211" s="235"/>
      <c r="K211" s="236"/>
      <c r="L211" s="237"/>
      <c r="M211" s="238"/>
      <c r="N211" s="238"/>
      <c r="O211" s="239">
        <f>+J211+K211+L211+M211+N211</f>
        <v>0</v>
      </c>
      <c r="P211" s="1008"/>
      <c r="Q211" s="141"/>
    </row>
    <row r="212" spans="1:19">
      <c r="A212" s="240" t="s">
        <v>434</v>
      </c>
      <c r="B212" s="241"/>
      <c r="C212" s="242"/>
      <c r="D212" s="243"/>
      <c r="E212" s="244"/>
      <c r="F212" s="244"/>
      <c r="G212" s="245">
        <f>+B212+C212+D212+E212+F212</f>
        <v>0</v>
      </c>
      <c r="H212" s="1024"/>
      <c r="I212" s="240" t="s">
        <v>434</v>
      </c>
      <c r="J212" s="241"/>
      <c r="K212" s="242"/>
      <c r="L212" s="243"/>
      <c r="M212" s="244"/>
      <c r="N212" s="244"/>
      <c r="O212" s="245">
        <f>+J212+K212+L212+M212+N212</f>
        <v>0</v>
      </c>
      <c r="P212" s="221"/>
      <c r="Q212" s="141"/>
      <c r="R212" s="141"/>
      <c r="S212" s="141"/>
    </row>
    <row r="213" spans="1:19">
      <c r="A213" s="240" t="s">
        <v>435</v>
      </c>
      <c r="B213" s="241"/>
      <c r="C213" s="242"/>
      <c r="D213" s="243"/>
      <c r="E213" s="244"/>
      <c r="F213" s="244"/>
      <c r="G213" s="245">
        <f>+B213+C213+D213+E213+F213</f>
        <v>0</v>
      </c>
      <c r="H213" s="1024"/>
      <c r="I213" s="240" t="s">
        <v>435</v>
      </c>
      <c r="J213" s="241"/>
      <c r="K213" s="242"/>
      <c r="L213" s="243"/>
      <c r="M213" s="244"/>
      <c r="N213" s="244"/>
      <c r="O213" s="245">
        <f>+J213+K213+L213+M213+N213</f>
        <v>0</v>
      </c>
      <c r="P213" s="221"/>
      <c r="Q213" s="141"/>
    </row>
    <row r="214" spans="1:19">
      <c r="A214" s="240" t="s">
        <v>436</v>
      </c>
      <c r="B214" s="241"/>
      <c r="C214" s="242"/>
      <c r="D214" s="243"/>
      <c r="E214" s="244"/>
      <c r="F214" s="244"/>
      <c r="G214" s="245">
        <f>+B214+C214+D214+E214+F214</f>
        <v>0</v>
      </c>
      <c r="H214" s="1024"/>
      <c r="I214" s="240" t="s">
        <v>436</v>
      </c>
      <c r="J214" s="241"/>
      <c r="K214" s="242"/>
      <c r="L214" s="243"/>
      <c r="M214" s="244"/>
      <c r="N214" s="244"/>
      <c r="O214" s="245">
        <f>+J214+K214+L214+M214+N214</f>
        <v>0</v>
      </c>
      <c r="P214" s="221"/>
      <c r="Q214" s="141"/>
    </row>
    <row r="215" spans="1:19" ht="12.75" thickBot="1">
      <c r="A215" s="240" t="s">
        <v>437</v>
      </c>
      <c r="B215" s="241"/>
      <c r="C215" s="242"/>
      <c r="D215" s="243"/>
      <c r="E215" s="244"/>
      <c r="F215" s="244"/>
      <c r="G215" s="245">
        <f>+B215+C215+D215+E215+F215</f>
        <v>0</v>
      </c>
      <c r="H215" s="1024"/>
      <c r="I215" s="240" t="s">
        <v>437</v>
      </c>
      <c r="J215" s="241"/>
      <c r="K215" s="242"/>
      <c r="L215" s="243"/>
      <c r="M215" s="244"/>
      <c r="N215" s="244"/>
      <c r="O215" s="245">
        <f>+J215+K215+L215+M215+N215</f>
        <v>0</v>
      </c>
      <c r="P215" s="221"/>
      <c r="Q215" s="141"/>
    </row>
    <row r="216" spans="1:19" ht="12.75" thickBot="1">
      <c r="A216" s="220" t="s">
        <v>438</v>
      </c>
      <c r="B216" s="246">
        <f t="shared" ref="B216:G216" si="67">+B210+B212+B213+B214+B215</f>
        <v>0</v>
      </c>
      <c r="C216" s="247">
        <f t="shared" si="67"/>
        <v>2976</v>
      </c>
      <c r="D216" s="248">
        <f t="shared" si="67"/>
        <v>0</v>
      </c>
      <c r="E216" s="246">
        <f t="shared" si="67"/>
        <v>0</v>
      </c>
      <c r="F216" s="246">
        <f t="shared" si="67"/>
        <v>0</v>
      </c>
      <c r="G216" s="247">
        <f t="shared" si="67"/>
        <v>2976</v>
      </c>
      <c r="H216" s="1024"/>
      <c r="I216" s="220" t="s">
        <v>438</v>
      </c>
      <c r="J216" s="246">
        <f t="shared" ref="J216:O216" si="68">+J210+J212+J213+J214+J215</f>
        <v>0</v>
      </c>
      <c r="K216" s="247">
        <f t="shared" si="68"/>
        <v>10672</v>
      </c>
      <c r="L216" s="248">
        <f t="shared" si="68"/>
        <v>0</v>
      </c>
      <c r="M216" s="246">
        <f t="shared" si="68"/>
        <v>0</v>
      </c>
      <c r="N216" s="246">
        <f t="shared" si="68"/>
        <v>0</v>
      </c>
      <c r="O216" s="247">
        <f t="shared" si="68"/>
        <v>10672</v>
      </c>
      <c r="P216" s="221"/>
    </row>
    <row r="217" spans="1:19" ht="12.75" thickBot="1">
      <c r="A217" s="249"/>
      <c r="B217" s="249"/>
      <c r="C217" s="249"/>
      <c r="D217" s="249"/>
      <c r="E217" s="249"/>
      <c r="F217" s="249"/>
      <c r="G217" s="249"/>
      <c r="H217" s="1024"/>
      <c r="I217" s="249"/>
      <c r="J217" s="249"/>
      <c r="K217" s="249"/>
      <c r="L217" s="249"/>
      <c r="M217" s="249"/>
      <c r="N217" s="249"/>
      <c r="O217" s="249"/>
      <c r="P217" s="249"/>
    </row>
    <row r="218" spans="1:19" s="1023" customFormat="1" ht="24.75" thickBot="1">
      <c r="A218" s="442" t="s">
        <v>439</v>
      </c>
      <c r="B218" s="443" t="s">
        <v>1449</v>
      </c>
      <c r="C218" s="227" t="s">
        <v>1442</v>
      </c>
      <c r="D218" s="422" t="s">
        <v>460</v>
      </c>
      <c r="E218" s="423" t="s">
        <v>461</v>
      </c>
      <c r="F218" s="423" t="s">
        <v>1450</v>
      </c>
      <c r="G218" s="1149" t="s">
        <v>18</v>
      </c>
      <c r="H218" s="1026"/>
      <c r="I218" s="442" t="s">
        <v>439</v>
      </c>
      <c r="J218" s="443" t="s">
        <v>1449</v>
      </c>
      <c r="K218" s="227" t="s">
        <v>1442</v>
      </c>
      <c r="L218" s="422" t="s">
        <v>460</v>
      </c>
      <c r="M218" s="423" t="s">
        <v>461</v>
      </c>
      <c r="N218" s="423" t="s">
        <v>1450</v>
      </c>
      <c r="O218" s="1149" t="s">
        <v>18</v>
      </c>
      <c r="P218" s="1007"/>
    </row>
    <row r="219" spans="1:19">
      <c r="A219" s="228" t="s">
        <v>445</v>
      </c>
      <c r="B219" s="229"/>
      <c r="C219" s="230"/>
      <c r="D219" s="231"/>
      <c r="E219" s="232"/>
      <c r="F219" s="232"/>
      <c r="G219" s="233">
        <f t="shared" ref="G219:G226" si="69">+B219+C219+D219+E219+F219</f>
        <v>0</v>
      </c>
      <c r="H219" s="1024"/>
      <c r="I219" s="228" t="s">
        <v>445</v>
      </c>
      <c r="J219" s="229"/>
      <c r="K219" s="230"/>
      <c r="L219" s="231"/>
      <c r="M219" s="232"/>
      <c r="N219" s="232"/>
      <c r="O219" s="233">
        <f t="shared" ref="O219:O226" si="70">+J219+K219+L219+M219+N219</f>
        <v>0</v>
      </c>
      <c r="P219" s="221"/>
      <c r="Q219" s="141"/>
      <c r="R219" s="141"/>
      <c r="S219" s="141"/>
    </row>
    <row r="220" spans="1:19">
      <c r="A220" s="250" t="s">
        <v>446</v>
      </c>
      <c r="B220" s="241"/>
      <c r="C220" s="242"/>
      <c r="D220" s="243"/>
      <c r="E220" s="244"/>
      <c r="F220" s="244"/>
      <c r="G220" s="245">
        <f t="shared" si="69"/>
        <v>0</v>
      </c>
      <c r="H220" s="1024"/>
      <c r="I220" s="250" t="s">
        <v>446</v>
      </c>
      <c r="J220" s="241"/>
      <c r="K220" s="242"/>
      <c r="L220" s="243"/>
      <c r="M220" s="244"/>
      <c r="N220" s="244"/>
      <c r="O220" s="245">
        <f t="shared" si="70"/>
        <v>0</v>
      </c>
      <c r="P220" s="221"/>
      <c r="Q220" s="141"/>
      <c r="R220" s="141"/>
      <c r="S220" s="141"/>
    </row>
    <row r="221" spans="1:19">
      <c r="A221" s="240" t="s">
        <v>447</v>
      </c>
      <c r="B221" s="241"/>
      <c r="C221" s="242"/>
      <c r="D221" s="243"/>
      <c r="E221" s="244"/>
      <c r="F221" s="244"/>
      <c r="G221" s="245">
        <f t="shared" si="69"/>
        <v>0</v>
      </c>
      <c r="H221" s="1024"/>
      <c r="I221" s="240" t="s">
        <v>447</v>
      </c>
      <c r="J221" s="241"/>
      <c r="K221" s="242"/>
      <c r="L221" s="243"/>
      <c r="M221" s="244"/>
      <c r="N221" s="244"/>
      <c r="O221" s="245">
        <f t="shared" si="70"/>
        <v>0</v>
      </c>
      <c r="P221" s="221"/>
      <c r="Q221" s="141"/>
      <c r="R221" s="141"/>
      <c r="S221" s="141"/>
    </row>
    <row r="222" spans="1:19">
      <c r="A222" s="240" t="s">
        <v>448</v>
      </c>
      <c r="B222" s="241"/>
      <c r="C222" s="242"/>
      <c r="D222" s="243"/>
      <c r="E222" s="244"/>
      <c r="F222" s="244"/>
      <c r="G222" s="245">
        <f t="shared" si="69"/>
        <v>0</v>
      </c>
      <c r="H222" s="1024"/>
      <c r="I222" s="240" t="s">
        <v>448</v>
      </c>
      <c r="J222" s="241"/>
      <c r="K222" s="242"/>
      <c r="L222" s="243"/>
      <c r="M222" s="244"/>
      <c r="N222" s="244"/>
      <c r="O222" s="245">
        <f t="shared" si="70"/>
        <v>0</v>
      </c>
      <c r="P222" s="221"/>
      <c r="Q222" s="141"/>
      <c r="S222" s="141"/>
    </row>
    <row r="223" spans="1:19">
      <c r="A223" s="251" t="s">
        <v>449</v>
      </c>
      <c r="B223" s="252"/>
      <c r="C223" s="242">
        <v>2976</v>
      </c>
      <c r="D223" s="243"/>
      <c r="E223" s="244"/>
      <c r="F223" s="244"/>
      <c r="G223" s="245">
        <f t="shared" si="69"/>
        <v>2976</v>
      </c>
      <c r="H223" s="1024"/>
      <c r="I223" s="251" t="s">
        <v>449</v>
      </c>
      <c r="J223" s="252"/>
      <c r="K223" s="242">
        <v>10672</v>
      </c>
      <c r="L223" s="243"/>
      <c r="M223" s="244"/>
      <c r="N223" s="244"/>
      <c r="O223" s="245">
        <f t="shared" si="70"/>
        <v>10672</v>
      </c>
      <c r="P223" s="221"/>
      <c r="Q223" s="141"/>
      <c r="R223" s="141"/>
      <c r="S223" s="141"/>
    </row>
    <row r="224" spans="1:19">
      <c r="A224" s="251" t="s">
        <v>450</v>
      </c>
      <c r="B224" s="252"/>
      <c r="C224" s="242"/>
      <c r="D224" s="243"/>
      <c r="E224" s="244"/>
      <c r="F224" s="244"/>
      <c r="G224" s="245">
        <f t="shared" si="69"/>
        <v>0</v>
      </c>
      <c r="H224" s="1024"/>
      <c r="I224" s="251" t="s">
        <v>450</v>
      </c>
      <c r="J224" s="252"/>
      <c r="K224" s="242"/>
      <c r="L224" s="243"/>
      <c r="M224" s="244"/>
      <c r="N224" s="244"/>
      <c r="O224" s="245">
        <f t="shared" si="70"/>
        <v>0</v>
      </c>
      <c r="P224" s="221"/>
      <c r="Q224" s="141"/>
      <c r="R224" s="141"/>
      <c r="S224" s="141"/>
    </row>
    <row r="225" spans="1:19">
      <c r="A225" s="253" t="s">
        <v>451</v>
      </c>
      <c r="B225" s="254"/>
      <c r="C225" s="255"/>
      <c r="D225" s="256"/>
      <c r="E225" s="257"/>
      <c r="F225" s="257"/>
      <c r="G225" s="245">
        <f t="shared" si="69"/>
        <v>0</v>
      </c>
      <c r="H225" s="1024"/>
      <c r="I225" s="253" t="s">
        <v>451</v>
      </c>
      <c r="J225" s="254"/>
      <c r="K225" s="255"/>
      <c r="L225" s="243"/>
      <c r="M225" s="257"/>
      <c r="N225" s="257"/>
      <c r="O225" s="245">
        <f t="shared" si="70"/>
        <v>0</v>
      </c>
      <c r="P225" s="221"/>
      <c r="Q225" s="141"/>
      <c r="R225" s="141"/>
      <c r="S225" s="141"/>
    </row>
    <row r="226" spans="1:19" ht="12.75" thickBot="1">
      <c r="A226" s="253" t="s">
        <v>452</v>
      </c>
      <c r="B226" s="254"/>
      <c r="C226" s="255"/>
      <c r="D226" s="256"/>
      <c r="E226" s="257"/>
      <c r="F226" s="257"/>
      <c r="G226" s="245">
        <f t="shared" si="69"/>
        <v>0</v>
      </c>
      <c r="H226" s="1024"/>
      <c r="I226" s="253" t="s">
        <v>452</v>
      </c>
      <c r="J226" s="254"/>
      <c r="K226" s="255"/>
      <c r="L226" s="256"/>
      <c r="M226" s="257"/>
      <c r="N226" s="257"/>
      <c r="O226" s="245">
        <f t="shared" si="70"/>
        <v>0</v>
      </c>
      <c r="P226" s="221"/>
      <c r="Q226" s="141"/>
      <c r="R226" s="141"/>
      <c r="S226" s="141"/>
    </row>
    <row r="227" spans="1:19" ht="12.75" thickBot="1">
      <c r="A227" s="220" t="s">
        <v>453</v>
      </c>
      <c r="B227" s="246">
        <f t="shared" ref="B227:G227" si="71">+B219+B220+B221+B222+B223+B224+B225+B226</f>
        <v>0</v>
      </c>
      <c r="C227" s="247">
        <f t="shared" si="71"/>
        <v>2976</v>
      </c>
      <c r="D227" s="248">
        <f t="shared" si="71"/>
        <v>0</v>
      </c>
      <c r="E227" s="246">
        <f t="shared" si="71"/>
        <v>0</v>
      </c>
      <c r="F227" s="246">
        <f t="shared" si="71"/>
        <v>0</v>
      </c>
      <c r="G227" s="247">
        <f t="shared" si="71"/>
        <v>2976</v>
      </c>
      <c r="I227" s="220" t="s">
        <v>453</v>
      </c>
      <c r="J227" s="246">
        <f t="shared" ref="J227:O227" si="72">+J219+J220+J221+J222+J223+J224+J225+J226</f>
        <v>0</v>
      </c>
      <c r="K227" s="247">
        <f t="shared" si="72"/>
        <v>10672</v>
      </c>
      <c r="L227" s="248">
        <f t="shared" si="72"/>
        <v>0</v>
      </c>
      <c r="M227" s="246">
        <f t="shared" si="72"/>
        <v>0</v>
      </c>
      <c r="N227" s="246">
        <f t="shared" si="72"/>
        <v>0</v>
      </c>
      <c r="O227" s="247">
        <f t="shared" si="72"/>
        <v>10672</v>
      </c>
      <c r="P227" s="221"/>
      <c r="R227" s="1024"/>
    </row>
    <row r="228" spans="1:19">
      <c r="A228" s="221"/>
      <c r="B228" s="221"/>
      <c r="C228" s="221"/>
      <c r="D228" s="221"/>
      <c r="E228" s="221"/>
      <c r="F228" s="221"/>
      <c r="G228" s="221"/>
      <c r="H228" s="1024"/>
      <c r="I228" s="221"/>
      <c r="J228" s="221"/>
      <c r="K228" s="221"/>
      <c r="L228" s="221"/>
      <c r="M228" s="221"/>
      <c r="N228" s="221"/>
      <c r="O228" s="221"/>
      <c r="P228" s="221"/>
    </row>
    <row r="230" spans="1:19" s="1017" customFormat="1" ht="15.75">
      <c r="A230" s="219" t="s">
        <v>1385</v>
      </c>
      <c r="B230" s="1147" t="s">
        <v>1400</v>
      </c>
      <c r="C230" s="1147"/>
      <c r="D230" s="1147"/>
      <c r="E230" s="1147"/>
      <c r="F230" s="1147"/>
      <c r="G230" s="1147"/>
      <c r="H230" s="910"/>
      <c r="I230" s="219" t="s">
        <v>1386</v>
      </c>
      <c r="J230" s="1147" t="s">
        <v>1375</v>
      </c>
      <c r="K230" s="1147"/>
      <c r="L230" s="1147"/>
      <c r="M230" s="1147"/>
      <c r="N230" s="1147"/>
      <c r="O230" s="1147"/>
      <c r="P230" s="1147"/>
    </row>
    <row r="231" spans="1:19" s="1017" customFormat="1" ht="15.75" customHeight="1">
      <c r="A231" s="1159" t="s">
        <v>1401</v>
      </c>
      <c r="B231" s="1159"/>
      <c r="C231" s="1159"/>
      <c r="D231" s="1159"/>
      <c r="E231" s="1159"/>
      <c r="F231" s="1159"/>
      <c r="G231" s="1159"/>
      <c r="H231" s="910"/>
      <c r="I231" s="1159" t="s">
        <v>1418</v>
      </c>
      <c r="J231" s="1159"/>
      <c r="K231" s="1159"/>
      <c r="L231" s="1159"/>
      <c r="M231" s="1159"/>
      <c r="N231" s="1159"/>
      <c r="O231" s="1159"/>
      <c r="P231" s="1140"/>
    </row>
    <row r="232" spans="1:19" s="1017" customFormat="1" ht="15.75">
      <c r="A232" s="1236" t="s">
        <v>1109</v>
      </c>
      <c r="B232" s="1236"/>
      <c r="C232" s="1236"/>
      <c r="D232" s="1236"/>
      <c r="E232" s="1236"/>
      <c r="F232" s="1236"/>
      <c r="G232" s="1236"/>
      <c r="H232" s="910"/>
      <c r="I232" s="1236" t="s">
        <v>1109</v>
      </c>
      <c r="J232" s="1236"/>
      <c r="K232" s="1236"/>
      <c r="L232" s="1236"/>
      <c r="M232" s="1236"/>
      <c r="N232" s="1236"/>
      <c r="O232" s="1236"/>
      <c r="P232" s="1146"/>
    </row>
    <row r="233" spans="1:19" s="1020" customFormat="1" ht="12.75" thickBot="1">
      <c r="A233" s="1019"/>
      <c r="B233" s="1019"/>
      <c r="D233" s="1019"/>
      <c r="E233" s="1019"/>
      <c r="G233" s="269" t="s">
        <v>280</v>
      </c>
      <c r="H233" s="1021"/>
      <c r="I233" s="1019"/>
      <c r="J233" s="1019"/>
      <c r="K233" s="1019"/>
      <c r="L233" s="1019"/>
      <c r="M233" s="1019"/>
      <c r="O233" s="269" t="s">
        <v>280</v>
      </c>
      <c r="P233" s="1006"/>
    </row>
    <row r="234" spans="1:19" s="1023" customFormat="1" ht="24.75" thickBot="1">
      <c r="A234" s="442" t="s">
        <v>431</v>
      </c>
      <c r="B234" s="443" t="s">
        <v>1449</v>
      </c>
      <c r="C234" s="227" t="s">
        <v>1442</v>
      </c>
      <c r="D234" s="422" t="s">
        <v>460</v>
      </c>
      <c r="E234" s="423" t="s">
        <v>461</v>
      </c>
      <c r="F234" s="423" t="s">
        <v>1450</v>
      </c>
      <c r="G234" s="1149" t="s">
        <v>18</v>
      </c>
      <c r="H234" s="1026"/>
      <c r="I234" s="442" t="s">
        <v>431</v>
      </c>
      <c r="J234" s="443" t="s">
        <v>1449</v>
      </c>
      <c r="K234" s="227" t="s">
        <v>1442</v>
      </c>
      <c r="L234" s="422" t="s">
        <v>460</v>
      </c>
      <c r="M234" s="423" t="s">
        <v>461</v>
      </c>
      <c r="N234" s="423" t="s">
        <v>1450</v>
      </c>
      <c r="O234" s="1149" t="s">
        <v>18</v>
      </c>
      <c r="P234" s="1007"/>
    </row>
    <row r="235" spans="1:19">
      <c r="A235" s="228" t="s">
        <v>432</v>
      </c>
      <c r="B235" s="229">
        <f t="shared" ref="B235:G235" si="73">+B252-B240-B239-B238-B237</f>
        <v>0</v>
      </c>
      <c r="C235" s="230">
        <f t="shared" si="73"/>
        <v>57079</v>
      </c>
      <c r="D235" s="231">
        <f t="shared" si="73"/>
        <v>0</v>
      </c>
      <c r="E235" s="232">
        <f t="shared" si="73"/>
        <v>0</v>
      </c>
      <c r="F235" s="232">
        <f t="shared" si="73"/>
        <v>0</v>
      </c>
      <c r="G235" s="233">
        <f t="shared" si="73"/>
        <v>57079</v>
      </c>
      <c r="H235" s="1024"/>
      <c r="I235" s="228" t="s">
        <v>432</v>
      </c>
      <c r="J235" s="229">
        <f t="shared" ref="J235:O235" si="74">+J252-J240-J239-J238-J237</f>
        <v>0</v>
      </c>
      <c r="K235" s="230">
        <f t="shared" si="74"/>
        <v>97922</v>
      </c>
      <c r="L235" s="231">
        <f t="shared" si="74"/>
        <v>0</v>
      </c>
      <c r="M235" s="232">
        <f t="shared" si="74"/>
        <v>0</v>
      </c>
      <c r="N235" s="232">
        <f t="shared" si="74"/>
        <v>0</v>
      </c>
      <c r="O235" s="233">
        <f t="shared" si="74"/>
        <v>97922</v>
      </c>
      <c r="P235" s="221"/>
    </row>
    <row r="236" spans="1:19">
      <c r="A236" s="234" t="s">
        <v>433</v>
      </c>
      <c r="B236" s="235"/>
      <c r="C236" s="236"/>
      <c r="D236" s="237"/>
      <c r="E236" s="238"/>
      <c r="F236" s="238"/>
      <c r="G236" s="239">
        <f>+B236+C236+D236+E236+F236</f>
        <v>0</v>
      </c>
      <c r="H236" s="1024"/>
      <c r="I236" s="234" t="s">
        <v>433</v>
      </c>
      <c r="J236" s="235"/>
      <c r="K236" s="236"/>
      <c r="L236" s="237"/>
      <c r="M236" s="238"/>
      <c r="N236" s="238"/>
      <c r="O236" s="239">
        <f>+J236+K236+L236+M236+N236</f>
        <v>0</v>
      </c>
      <c r="P236" s="1008"/>
      <c r="Q236" s="141"/>
    </row>
    <row r="237" spans="1:19">
      <c r="A237" s="240" t="s">
        <v>434</v>
      </c>
      <c r="B237" s="241"/>
      <c r="C237" s="242"/>
      <c r="D237" s="243"/>
      <c r="E237" s="244"/>
      <c r="F237" s="244"/>
      <c r="G237" s="245">
        <f>+B237+C237+D237+E237+F237</f>
        <v>0</v>
      </c>
      <c r="H237" s="1024"/>
      <c r="I237" s="240" t="s">
        <v>434</v>
      </c>
      <c r="J237" s="241"/>
      <c r="K237" s="242"/>
      <c r="L237" s="243"/>
      <c r="M237" s="244"/>
      <c r="N237" s="244"/>
      <c r="O237" s="245">
        <f>+J237+K237+L237+M237+N237</f>
        <v>0</v>
      </c>
      <c r="P237" s="221"/>
      <c r="Q237" s="141"/>
      <c r="R237" s="141"/>
      <c r="S237" s="141"/>
    </row>
    <row r="238" spans="1:19">
      <c r="A238" s="240" t="s">
        <v>435</v>
      </c>
      <c r="B238" s="241"/>
      <c r="C238" s="242"/>
      <c r="D238" s="243"/>
      <c r="E238" s="244"/>
      <c r="F238" s="244"/>
      <c r="G238" s="245">
        <f>+B238+C238+D238+E238+F238</f>
        <v>0</v>
      </c>
      <c r="H238" s="1024"/>
      <c r="I238" s="240" t="s">
        <v>435</v>
      </c>
      <c r="J238" s="241"/>
      <c r="K238" s="242"/>
      <c r="L238" s="243"/>
      <c r="M238" s="244"/>
      <c r="N238" s="244"/>
      <c r="O238" s="245">
        <f>+J238+K238+L238+M238+N238</f>
        <v>0</v>
      </c>
      <c r="P238" s="221"/>
      <c r="Q238" s="141"/>
    </row>
    <row r="239" spans="1:19">
      <c r="A239" s="240" t="s">
        <v>436</v>
      </c>
      <c r="B239" s="241"/>
      <c r="C239" s="242"/>
      <c r="D239" s="243"/>
      <c r="E239" s="244"/>
      <c r="F239" s="244"/>
      <c r="G239" s="245">
        <f>+B239+C239+D239+E239+F239</f>
        <v>0</v>
      </c>
      <c r="H239" s="1024"/>
      <c r="I239" s="240" t="s">
        <v>436</v>
      </c>
      <c r="J239" s="241"/>
      <c r="K239" s="242"/>
      <c r="L239" s="243"/>
      <c r="M239" s="244"/>
      <c r="N239" s="244"/>
      <c r="O239" s="245">
        <f>+J239+K239+L239+M239+N239</f>
        <v>0</v>
      </c>
      <c r="P239" s="221"/>
      <c r="Q239" s="141"/>
    </row>
    <row r="240" spans="1:19" ht="12.75" thickBot="1">
      <c r="A240" s="240" t="s">
        <v>437</v>
      </c>
      <c r="B240" s="241"/>
      <c r="C240" s="242"/>
      <c r="D240" s="243"/>
      <c r="E240" s="244"/>
      <c r="F240" s="244"/>
      <c r="G240" s="245">
        <f>+B240+C240+D240+E240+F240</f>
        <v>0</v>
      </c>
      <c r="H240" s="1024"/>
      <c r="I240" s="240" t="s">
        <v>437</v>
      </c>
      <c r="J240" s="241"/>
      <c r="K240" s="242"/>
      <c r="L240" s="243"/>
      <c r="M240" s="244"/>
      <c r="N240" s="244"/>
      <c r="O240" s="245">
        <f>+J240+K240+L240+M240+N240</f>
        <v>0</v>
      </c>
      <c r="P240" s="221"/>
      <c r="Q240" s="141"/>
    </row>
    <row r="241" spans="1:19" ht="12.75" thickBot="1">
      <c r="A241" s="220" t="s">
        <v>438</v>
      </c>
      <c r="B241" s="246">
        <f t="shared" ref="B241:G241" si="75">+B235+B237+B238+B239+B240</f>
        <v>0</v>
      </c>
      <c r="C241" s="247">
        <f t="shared" si="75"/>
        <v>57079</v>
      </c>
      <c r="D241" s="248">
        <f t="shared" si="75"/>
        <v>0</v>
      </c>
      <c r="E241" s="246">
        <f t="shared" si="75"/>
        <v>0</v>
      </c>
      <c r="F241" s="246">
        <f t="shared" si="75"/>
        <v>0</v>
      </c>
      <c r="G241" s="247">
        <f t="shared" si="75"/>
        <v>57079</v>
      </c>
      <c r="H241" s="1024"/>
      <c r="I241" s="220" t="s">
        <v>438</v>
      </c>
      <c r="J241" s="246">
        <f t="shared" ref="J241:O241" si="76">+J235+J237+J238+J239+J240</f>
        <v>0</v>
      </c>
      <c r="K241" s="247">
        <f t="shared" si="76"/>
        <v>97922</v>
      </c>
      <c r="L241" s="248">
        <f t="shared" si="76"/>
        <v>0</v>
      </c>
      <c r="M241" s="246">
        <f t="shared" si="76"/>
        <v>0</v>
      </c>
      <c r="N241" s="246">
        <f t="shared" si="76"/>
        <v>0</v>
      </c>
      <c r="O241" s="247">
        <f t="shared" si="76"/>
        <v>97922</v>
      </c>
      <c r="P241" s="221"/>
    </row>
    <row r="242" spans="1:19" ht="12.75" thickBot="1">
      <c r="A242" s="249"/>
      <c r="B242" s="249"/>
      <c r="C242" s="249"/>
      <c r="D242" s="249"/>
      <c r="E242" s="249"/>
      <c r="F242" s="249"/>
      <c r="G242" s="249"/>
      <c r="H242" s="1024"/>
      <c r="I242" s="249"/>
      <c r="J242" s="249"/>
      <c r="K242" s="249"/>
      <c r="L242" s="249"/>
      <c r="M242" s="249"/>
      <c r="N242" s="249"/>
      <c r="O242" s="249"/>
      <c r="P242" s="249"/>
    </row>
    <row r="243" spans="1:19" s="1023" customFormat="1" ht="24.75" thickBot="1">
      <c r="A243" s="442" t="s">
        <v>439</v>
      </c>
      <c r="B243" s="443" t="s">
        <v>1449</v>
      </c>
      <c r="C243" s="227" t="s">
        <v>1442</v>
      </c>
      <c r="D243" s="422" t="s">
        <v>460</v>
      </c>
      <c r="E243" s="423" t="s">
        <v>461</v>
      </c>
      <c r="F243" s="423" t="s">
        <v>1450</v>
      </c>
      <c r="G243" s="1149" t="s">
        <v>18</v>
      </c>
      <c r="H243" s="1026"/>
      <c r="I243" s="442" t="s">
        <v>439</v>
      </c>
      <c r="J243" s="443" t="s">
        <v>1449</v>
      </c>
      <c r="K243" s="227" t="s">
        <v>1442</v>
      </c>
      <c r="L243" s="422" t="s">
        <v>460</v>
      </c>
      <c r="M243" s="423" t="s">
        <v>461</v>
      </c>
      <c r="N243" s="423" t="s">
        <v>1450</v>
      </c>
      <c r="O243" s="1149" t="s">
        <v>18</v>
      </c>
      <c r="P243" s="1007"/>
    </row>
    <row r="244" spans="1:19">
      <c r="A244" s="228" t="s">
        <v>445</v>
      </c>
      <c r="B244" s="229"/>
      <c r="C244" s="230"/>
      <c r="D244" s="231"/>
      <c r="E244" s="232"/>
      <c r="F244" s="232"/>
      <c r="G244" s="233">
        <f t="shared" ref="G244:G251" si="77">+B244+C244+D244+E244+F244</f>
        <v>0</v>
      </c>
      <c r="H244" s="1024"/>
      <c r="I244" s="228" t="s">
        <v>445</v>
      </c>
      <c r="J244" s="229"/>
      <c r="K244" s="230"/>
      <c r="L244" s="231"/>
      <c r="M244" s="232"/>
      <c r="N244" s="232"/>
      <c r="O244" s="233">
        <f t="shared" ref="O244:O251" si="78">+J244+K244+L244+M244+N244</f>
        <v>0</v>
      </c>
      <c r="P244" s="221"/>
      <c r="Q244" s="141"/>
      <c r="R244" s="141"/>
      <c r="S244" s="141"/>
    </row>
    <row r="245" spans="1:19">
      <c r="A245" s="250" t="s">
        <v>446</v>
      </c>
      <c r="B245" s="241"/>
      <c r="C245" s="242"/>
      <c r="D245" s="243"/>
      <c r="E245" s="244"/>
      <c r="F245" s="244"/>
      <c r="G245" s="245">
        <f t="shared" si="77"/>
        <v>0</v>
      </c>
      <c r="H245" s="1024"/>
      <c r="I245" s="250" t="s">
        <v>446</v>
      </c>
      <c r="J245" s="241"/>
      <c r="K245" s="242"/>
      <c r="L245" s="243"/>
      <c r="M245" s="244"/>
      <c r="N245" s="244"/>
      <c r="O245" s="245">
        <f t="shared" si="78"/>
        <v>0</v>
      </c>
      <c r="P245" s="221"/>
      <c r="Q245" s="141"/>
      <c r="R245" s="141"/>
      <c r="S245" s="141"/>
    </row>
    <row r="246" spans="1:19">
      <c r="A246" s="240" t="s">
        <v>447</v>
      </c>
      <c r="B246" s="241"/>
      <c r="C246" s="242"/>
      <c r="D246" s="243"/>
      <c r="E246" s="244"/>
      <c r="F246" s="244"/>
      <c r="G246" s="245">
        <f t="shared" si="77"/>
        <v>0</v>
      </c>
      <c r="H246" s="1024"/>
      <c r="I246" s="240" t="s">
        <v>447</v>
      </c>
      <c r="J246" s="241"/>
      <c r="K246" s="242"/>
      <c r="L246" s="243"/>
      <c r="M246" s="244"/>
      <c r="N246" s="244"/>
      <c r="O246" s="245">
        <f t="shared" si="78"/>
        <v>0</v>
      </c>
      <c r="P246" s="221"/>
      <c r="Q246" s="141"/>
      <c r="R246" s="141"/>
      <c r="S246" s="141"/>
    </row>
    <row r="247" spans="1:19">
      <c r="A247" s="240" t="s">
        <v>448</v>
      </c>
      <c r="B247" s="241"/>
      <c r="C247" s="242"/>
      <c r="D247" s="243"/>
      <c r="E247" s="244"/>
      <c r="F247" s="244"/>
      <c r="G247" s="245">
        <f t="shared" si="77"/>
        <v>0</v>
      </c>
      <c r="H247" s="1024"/>
      <c r="I247" s="240" t="s">
        <v>448</v>
      </c>
      <c r="J247" s="241"/>
      <c r="K247" s="242"/>
      <c r="L247" s="243"/>
      <c r="M247" s="244"/>
      <c r="N247" s="244"/>
      <c r="O247" s="245">
        <f t="shared" si="78"/>
        <v>0</v>
      </c>
      <c r="P247" s="221"/>
      <c r="Q247" s="141"/>
      <c r="S247" s="141"/>
    </row>
    <row r="248" spans="1:19">
      <c r="A248" s="251" t="s">
        <v>449</v>
      </c>
      <c r="B248" s="252"/>
      <c r="C248" s="242">
        <f>57072+7</f>
        <v>57079</v>
      </c>
      <c r="D248" s="243"/>
      <c r="E248" s="244"/>
      <c r="F248" s="244"/>
      <c r="G248" s="245">
        <f t="shared" si="77"/>
        <v>57079</v>
      </c>
      <c r="H248" s="1024"/>
      <c r="I248" s="251" t="s">
        <v>449</v>
      </c>
      <c r="J248" s="252"/>
      <c r="K248" s="242">
        <v>97922</v>
      </c>
      <c r="L248" s="243"/>
      <c r="M248" s="244"/>
      <c r="N248" s="244"/>
      <c r="O248" s="245">
        <f t="shared" si="78"/>
        <v>97922</v>
      </c>
      <c r="P248" s="221"/>
      <c r="Q248" s="141"/>
      <c r="R248" s="141"/>
      <c r="S248" s="141"/>
    </row>
    <row r="249" spans="1:19">
      <c r="A249" s="251" t="s">
        <v>450</v>
      </c>
      <c r="B249" s="252"/>
      <c r="C249" s="242"/>
      <c r="D249" s="243"/>
      <c r="E249" s="244"/>
      <c r="F249" s="244"/>
      <c r="G249" s="245">
        <f t="shared" si="77"/>
        <v>0</v>
      </c>
      <c r="H249" s="1024"/>
      <c r="I249" s="251" t="s">
        <v>450</v>
      </c>
      <c r="J249" s="252"/>
      <c r="K249" s="242"/>
      <c r="L249" s="243"/>
      <c r="M249" s="244"/>
      <c r="N249" s="244"/>
      <c r="O249" s="245">
        <f t="shared" si="78"/>
        <v>0</v>
      </c>
      <c r="P249" s="221"/>
      <c r="Q249" s="141"/>
      <c r="R249" s="141"/>
      <c r="S249" s="141"/>
    </row>
    <row r="250" spans="1:19">
      <c r="A250" s="253" t="s">
        <v>451</v>
      </c>
      <c r="B250" s="254"/>
      <c r="C250" s="255"/>
      <c r="D250" s="256"/>
      <c r="E250" s="257"/>
      <c r="F250" s="257"/>
      <c r="G250" s="245">
        <f t="shared" si="77"/>
        <v>0</v>
      </c>
      <c r="H250" s="1024"/>
      <c r="I250" s="253" t="s">
        <v>451</v>
      </c>
      <c r="J250" s="254"/>
      <c r="K250" s="255"/>
      <c r="L250" s="243"/>
      <c r="M250" s="257"/>
      <c r="N250" s="257"/>
      <c r="O250" s="245">
        <f t="shared" si="78"/>
        <v>0</v>
      </c>
      <c r="P250" s="221"/>
      <c r="Q250" s="141"/>
      <c r="R250" s="141"/>
      <c r="S250" s="141"/>
    </row>
    <row r="251" spans="1:19" ht="12.75" thickBot="1">
      <c r="A251" s="253" t="s">
        <v>452</v>
      </c>
      <c r="B251" s="254"/>
      <c r="C251" s="255"/>
      <c r="D251" s="256"/>
      <c r="E251" s="257"/>
      <c r="F251" s="257"/>
      <c r="G251" s="245">
        <f t="shared" si="77"/>
        <v>0</v>
      </c>
      <c r="H251" s="1024"/>
      <c r="I251" s="253" t="s">
        <v>452</v>
      </c>
      <c r="J251" s="254"/>
      <c r="K251" s="255"/>
      <c r="L251" s="256"/>
      <c r="M251" s="257"/>
      <c r="N251" s="257"/>
      <c r="O251" s="245">
        <f t="shared" si="78"/>
        <v>0</v>
      </c>
      <c r="P251" s="221"/>
      <c r="Q251" s="141"/>
      <c r="R251" s="141"/>
      <c r="S251" s="141"/>
    </row>
    <row r="252" spans="1:19" ht="12.75" thickBot="1">
      <c r="A252" s="220" t="s">
        <v>453</v>
      </c>
      <c r="B252" s="246">
        <f t="shared" ref="B252:G252" si="79">+B244+B245+B246+B247+B248+B249+B250+B251</f>
        <v>0</v>
      </c>
      <c r="C252" s="247">
        <f t="shared" si="79"/>
        <v>57079</v>
      </c>
      <c r="D252" s="248">
        <f t="shared" si="79"/>
        <v>0</v>
      </c>
      <c r="E252" s="246">
        <f t="shared" si="79"/>
        <v>0</v>
      </c>
      <c r="F252" s="246">
        <f t="shared" si="79"/>
        <v>0</v>
      </c>
      <c r="G252" s="247">
        <f t="shared" si="79"/>
        <v>57079</v>
      </c>
      <c r="I252" s="220" t="s">
        <v>453</v>
      </c>
      <c r="J252" s="246">
        <f t="shared" ref="J252:O252" si="80">+J244+J245+J246+J247+J248+J249+J250+J251</f>
        <v>0</v>
      </c>
      <c r="K252" s="247">
        <f t="shared" si="80"/>
        <v>97922</v>
      </c>
      <c r="L252" s="248">
        <f t="shared" si="80"/>
        <v>0</v>
      </c>
      <c r="M252" s="246">
        <f t="shared" si="80"/>
        <v>0</v>
      </c>
      <c r="N252" s="246">
        <f t="shared" si="80"/>
        <v>0</v>
      </c>
      <c r="O252" s="247">
        <f t="shared" si="80"/>
        <v>97922</v>
      </c>
      <c r="P252" s="221"/>
      <c r="R252" s="1024"/>
    </row>
    <row r="253" spans="1:19">
      <c r="A253" s="221"/>
      <c r="B253" s="221"/>
      <c r="C253" s="221"/>
      <c r="D253" s="221"/>
      <c r="E253" s="221"/>
      <c r="F253" s="221"/>
      <c r="G253" s="221"/>
      <c r="H253" s="1024"/>
      <c r="I253" s="221"/>
      <c r="J253" s="221"/>
      <c r="K253" s="221"/>
      <c r="L253" s="221"/>
      <c r="M253" s="221"/>
      <c r="N253" s="221"/>
      <c r="O253" s="221"/>
      <c r="P253" s="221"/>
    </row>
    <row r="255" spans="1:19" s="1017" customFormat="1" ht="15.75">
      <c r="A255" s="219" t="s">
        <v>1387</v>
      </c>
      <c r="B255" s="1147" t="s">
        <v>1402</v>
      </c>
      <c r="C255" s="1147"/>
      <c r="D255" s="1147"/>
      <c r="E255" s="1147"/>
      <c r="F255" s="1147"/>
      <c r="G255" s="1147"/>
      <c r="H255" s="910"/>
      <c r="I255" s="219" t="s">
        <v>1388</v>
      </c>
      <c r="J255" s="1147" t="s">
        <v>1404</v>
      </c>
      <c r="K255" s="1147"/>
      <c r="L255" s="1147"/>
      <c r="M255" s="1147"/>
      <c r="N255" s="1147"/>
      <c r="O255" s="1147"/>
      <c r="P255" s="1147"/>
    </row>
    <row r="256" spans="1:19" s="1017" customFormat="1" ht="15.75" customHeight="1">
      <c r="A256" s="1159" t="s">
        <v>1403</v>
      </c>
      <c r="B256" s="1159"/>
      <c r="C256" s="1159"/>
      <c r="D256" s="1159"/>
      <c r="E256" s="1159"/>
      <c r="F256" s="1159"/>
      <c r="G256" s="1159"/>
      <c r="H256" s="910"/>
      <c r="I256" s="1159" t="s">
        <v>1405</v>
      </c>
      <c r="J256" s="1159"/>
      <c r="K256" s="1159"/>
      <c r="L256" s="1159"/>
      <c r="M256" s="1159"/>
      <c r="N256" s="1159"/>
      <c r="O256" s="1159"/>
      <c r="P256" s="1140"/>
    </row>
    <row r="257" spans="1:19" s="1017" customFormat="1" ht="15.75">
      <c r="A257" s="1236" t="s">
        <v>1109</v>
      </c>
      <c r="B257" s="1236"/>
      <c r="C257" s="1236"/>
      <c r="D257" s="1236"/>
      <c r="E257" s="1236"/>
      <c r="F257" s="1236"/>
      <c r="G257" s="1236"/>
      <c r="H257" s="910"/>
      <c r="I257" s="1236" t="s">
        <v>1109</v>
      </c>
      <c r="J257" s="1236"/>
      <c r="K257" s="1236"/>
      <c r="L257" s="1236"/>
      <c r="M257" s="1236"/>
      <c r="N257" s="1236"/>
      <c r="O257" s="1236"/>
      <c r="P257" s="1146"/>
    </row>
    <row r="258" spans="1:19" s="1020" customFormat="1" ht="12.75" thickBot="1">
      <c r="A258" s="1019"/>
      <c r="B258" s="1019"/>
      <c r="D258" s="1019"/>
      <c r="E258" s="1019"/>
      <c r="G258" s="269" t="s">
        <v>280</v>
      </c>
      <c r="H258" s="1021"/>
      <c r="I258" s="1019"/>
      <c r="J258" s="1019"/>
      <c r="K258" s="1019"/>
      <c r="L258" s="1019"/>
      <c r="M258" s="1019"/>
      <c r="O258" s="269" t="s">
        <v>280</v>
      </c>
      <c r="P258" s="1006"/>
    </row>
    <row r="259" spans="1:19" s="1023" customFormat="1" ht="24.75" thickBot="1">
      <c r="A259" s="442" t="s">
        <v>431</v>
      </c>
      <c r="B259" s="443" t="s">
        <v>1449</v>
      </c>
      <c r="C259" s="227" t="s">
        <v>1442</v>
      </c>
      <c r="D259" s="422" t="s">
        <v>460</v>
      </c>
      <c r="E259" s="423" t="s">
        <v>461</v>
      </c>
      <c r="F259" s="423" t="s">
        <v>1450</v>
      </c>
      <c r="G259" s="1149" t="s">
        <v>18</v>
      </c>
      <c r="H259" s="1026"/>
      <c r="I259" s="442" t="s">
        <v>431</v>
      </c>
      <c r="J259" s="443" t="s">
        <v>1449</v>
      </c>
      <c r="K259" s="227" t="s">
        <v>1442</v>
      </c>
      <c r="L259" s="422" t="s">
        <v>460</v>
      </c>
      <c r="M259" s="423" t="s">
        <v>461</v>
      </c>
      <c r="N259" s="423" t="s">
        <v>1450</v>
      </c>
      <c r="O259" s="1149" t="s">
        <v>18</v>
      </c>
      <c r="P259" s="1007"/>
    </row>
    <row r="260" spans="1:19">
      <c r="A260" s="228" t="s">
        <v>432</v>
      </c>
      <c r="B260" s="229">
        <f t="shared" ref="B260:G260" si="81">+B277-B265-B264-B263-B262</f>
        <v>0</v>
      </c>
      <c r="C260" s="230">
        <f t="shared" si="81"/>
        <v>6599</v>
      </c>
      <c r="D260" s="231">
        <f t="shared" si="81"/>
        <v>0</v>
      </c>
      <c r="E260" s="232">
        <f t="shared" si="81"/>
        <v>0</v>
      </c>
      <c r="F260" s="232">
        <f t="shared" si="81"/>
        <v>0</v>
      </c>
      <c r="G260" s="233">
        <f t="shared" si="81"/>
        <v>6599</v>
      </c>
      <c r="H260" s="1024"/>
      <c r="I260" s="228" t="s">
        <v>432</v>
      </c>
      <c r="J260" s="229">
        <f t="shared" ref="J260:O260" si="82">+J277-J265-J264-J263-J262</f>
        <v>0</v>
      </c>
      <c r="K260" s="230">
        <f t="shared" si="82"/>
        <v>81210</v>
      </c>
      <c r="L260" s="231">
        <f t="shared" si="82"/>
        <v>0</v>
      </c>
      <c r="M260" s="232">
        <f t="shared" si="82"/>
        <v>0</v>
      </c>
      <c r="N260" s="232">
        <f t="shared" si="82"/>
        <v>0</v>
      </c>
      <c r="O260" s="233">
        <f t="shared" si="82"/>
        <v>81210</v>
      </c>
      <c r="P260" s="221"/>
    </row>
    <row r="261" spans="1:19">
      <c r="A261" s="234" t="s">
        <v>433</v>
      </c>
      <c r="B261" s="235"/>
      <c r="C261" s="236"/>
      <c r="D261" s="237"/>
      <c r="E261" s="238"/>
      <c r="F261" s="238"/>
      <c r="G261" s="239">
        <f>+B261+C261+D261+E261+F261</f>
        <v>0</v>
      </c>
      <c r="H261" s="1024"/>
      <c r="I261" s="234" t="s">
        <v>433</v>
      </c>
      <c r="J261" s="235"/>
      <c r="K261" s="236"/>
      <c r="L261" s="237"/>
      <c r="M261" s="238"/>
      <c r="N261" s="238"/>
      <c r="O261" s="239">
        <f>+J261+K261+L261+M261+N261</f>
        <v>0</v>
      </c>
      <c r="P261" s="1008"/>
      <c r="Q261" s="141"/>
    </row>
    <row r="262" spans="1:19">
      <c r="A262" s="240" t="s">
        <v>434</v>
      </c>
      <c r="B262" s="241"/>
      <c r="C262" s="242"/>
      <c r="D262" s="243"/>
      <c r="E262" s="244"/>
      <c r="F262" s="244"/>
      <c r="G262" s="245">
        <f>+B262+C262+D262+E262+F262</f>
        <v>0</v>
      </c>
      <c r="H262" s="1024"/>
      <c r="I262" s="240" t="s">
        <v>434</v>
      </c>
      <c r="J262" s="241"/>
      <c r="K262" s="242"/>
      <c r="L262" s="243"/>
      <c r="M262" s="244"/>
      <c r="N262" s="244"/>
      <c r="O262" s="245">
        <f>+J262+K262+L262+M262+N262</f>
        <v>0</v>
      </c>
      <c r="P262" s="221"/>
      <c r="Q262" s="141"/>
      <c r="R262" s="141"/>
      <c r="S262" s="141"/>
    </row>
    <row r="263" spans="1:19">
      <c r="A263" s="240" t="s">
        <v>435</v>
      </c>
      <c r="B263" s="241"/>
      <c r="C263" s="242"/>
      <c r="D263" s="243"/>
      <c r="E263" s="244"/>
      <c r="F263" s="244"/>
      <c r="G263" s="245">
        <f>+B263+C263+D263+E263+F263</f>
        <v>0</v>
      </c>
      <c r="H263" s="1024"/>
      <c r="I263" s="240" t="s">
        <v>435</v>
      </c>
      <c r="J263" s="241"/>
      <c r="K263" s="242"/>
      <c r="L263" s="243"/>
      <c r="M263" s="244"/>
      <c r="N263" s="244"/>
      <c r="O263" s="245">
        <f>+J263+K263+L263+M263+N263</f>
        <v>0</v>
      </c>
      <c r="P263" s="221"/>
      <c r="Q263" s="141"/>
    </row>
    <row r="264" spans="1:19">
      <c r="A264" s="240" t="s">
        <v>436</v>
      </c>
      <c r="B264" s="241"/>
      <c r="C264" s="242"/>
      <c r="D264" s="243"/>
      <c r="E264" s="244"/>
      <c r="F264" s="244"/>
      <c r="G264" s="245">
        <f>+B264+C264+D264+E264+F264</f>
        <v>0</v>
      </c>
      <c r="H264" s="1024"/>
      <c r="I264" s="240" t="s">
        <v>436</v>
      </c>
      <c r="J264" s="241"/>
      <c r="K264" s="242"/>
      <c r="L264" s="243"/>
      <c r="M264" s="244"/>
      <c r="N264" s="244"/>
      <c r="O264" s="245">
        <f>+J264+K264+L264+M264+N264</f>
        <v>0</v>
      </c>
      <c r="P264" s="221"/>
      <c r="Q264" s="141"/>
    </row>
    <row r="265" spans="1:19" ht="12.75" thickBot="1">
      <c r="A265" s="240" t="s">
        <v>437</v>
      </c>
      <c r="B265" s="241"/>
      <c r="C265" s="242"/>
      <c r="D265" s="243"/>
      <c r="E265" s="244"/>
      <c r="F265" s="244"/>
      <c r="G265" s="245">
        <f>+B265+C265+D265+E265+F265</f>
        <v>0</v>
      </c>
      <c r="H265" s="1024"/>
      <c r="I265" s="240" t="s">
        <v>437</v>
      </c>
      <c r="J265" s="241"/>
      <c r="K265" s="242"/>
      <c r="L265" s="243"/>
      <c r="M265" s="244"/>
      <c r="N265" s="244"/>
      <c r="O265" s="245">
        <f>+J265+K265+L265+M265+N265</f>
        <v>0</v>
      </c>
      <c r="P265" s="221"/>
      <c r="Q265" s="141"/>
    </row>
    <row r="266" spans="1:19" ht="12.75" thickBot="1">
      <c r="A266" s="220" t="s">
        <v>438</v>
      </c>
      <c r="B266" s="246">
        <f t="shared" ref="B266:G266" si="83">+B260+B262+B263+B264+B265</f>
        <v>0</v>
      </c>
      <c r="C266" s="247">
        <f t="shared" si="83"/>
        <v>6599</v>
      </c>
      <c r="D266" s="248">
        <f t="shared" si="83"/>
        <v>0</v>
      </c>
      <c r="E266" s="246">
        <f t="shared" si="83"/>
        <v>0</v>
      </c>
      <c r="F266" s="246">
        <f t="shared" si="83"/>
        <v>0</v>
      </c>
      <c r="G266" s="247">
        <f t="shared" si="83"/>
        <v>6599</v>
      </c>
      <c r="H266" s="1024"/>
      <c r="I266" s="220" t="s">
        <v>438</v>
      </c>
      <c r="J266" s="246">
        <f t="shared" ref="J266:O266" si="84">+J260+J262+J263+J264+J265</f>
        <v>0</v>
      </c>
      <c r="K266" s="247">
        <f t="shared" si="84"/>
        <v>81210</v>
      </c>
      <c r="L266" s="248">
        <f t="shared" si="84"/>
        <v>0</v>
      </c>
      <c r="M266" s="246">
        <f t="shared" si="84"/>
        <v>0</v>
      </c>
      <c r="N266" s="246">
        <f t="shared" si="84"/>
        <v>0</v>
      </c>
      <c r="O266" s="247">
        <f t="shared" si="84"/>
        <v>81210</v>
      </c>
      <c r="P266" s="221"/>
    </row>
    <row r="267" spans="1:19" ht="12.75" thickBot="1">
      <c r="A267" s="249"/>
      <c r="B267" s="249"/>
      <c r="C267" s="249"/>
      <c r="D267" s="249"/>
      <c r="E267" s="249"/>
      <c r="F267" s="249"/>
      <c r="G267" s="249"/>
      <c r="H267" s="1024"/>
      <c r="I267" s="249"/>
      <c r="J267" s="249"/>
      <c r="K267" s="249"/>
      <c r="L267" s="249"/>
      <c r="M267" s="249"/>
      <c r="N267" s="249"/>
      <c r="O267" s="249"/>
      <c r="P267" s="249"/>
    </row>
    <row r="268" spans="1:19" s="1023" customFormat="1" ht="24.75" thickBot="1">
      <c r="A268" s="442" t="s">
        <v>439</v>
      </c>
      <c r="B268" s="443" t="s">
        <v>1449</v>
      </c>
      <c r="C268" s="227" t="s">
        <v>1442</v>
      </c>
      <c r="D268" s="422" t="s">
        <v>460</v>
      </c>
      <c r="E268" s="423" t="s">
        <v>461</v>
      </c>
      <c r="F268" s="423" t="s">
        <v>1450</v>
      </c>
      <c r="G268" s="1149" t="s">
        <v>18</v>
      </c>
      <c r="H268" s="1026"/>
      <c r="I268" s="442" t="s">
        <v>439</v>
      </c>
      <c r="J268" s="443" t="s">
        <v>1449</v>
      </c>
      <c r="K268" s="227" t="s">
        <v>1442</v>
      </c>
      <c r="L268" s="422" t="s">
        <v>460</v>
      </c>
      <c r="M268" s="423" t="s">
        <v>461</v>
      </c>
      <c r="N268" s="423" t="s">
        <v>1450</v>
      </c>
      <c r="O268" s="1149" t="s">
        <v>18</v>
      </c>
      <c r="P268" s="1007"/>
    </row>
    <row r="269" spans="1:19">
      <c r="A269" s="228" t="s">
        <v>445</v>
      </c>
      <c r="B269" s="229"/>
      <c r="C269" s="230"/>
      <c r="D269" s="231"/>
      <c r="E269" s="232"/>
      <c r="F269" s="232"/>
      <c r="G269" s="233">
        <f t="shared" ref="G269:G276" si="85">+B269+C269+D269+E269+F269</f>
        <v>0</v>
      </c>
      <c r="H269" s="1024"/>
      <c r="I269" s="228" t="s">
        <v>445</v>
      </c>
      <c r="J269" s="229"/>
      <c r="K269" s="230"/>
      <c r="L269" s="231"/>
      <c r="M269" s="232"/>
      <c r="N269" s="232"/>
      <c r="O269" s="233">
        <f t="shared" ref="O269:O276" si="86">+J269+K269+L269+M269+N269</f>
        <v>0</v>
      </c>
      <c r="P269" s="221"/>
      <c r="Q269" s="141"/>
      <c r="R269" s="141"/>
      <c r="S269" s="141"/>
    </row>
    <row r="270" spans="1:19">
      <c r="A270" s="250" t="s">
        <v>446</v>
      </c>
      <c r="B270" s="241"/>
      <c r="C270" s="242"/>
      <c r="D270" s="243"/>
      <c r="E270" s="244"/>
      <c r="F270" s="244"/>
      <c r="G270" s="245">
        <f t="shared" si="85"/>
        <v>0</v>
      </c>
      <c r="H270" s="1024"/>
      <c r="I270" s="250" t="s">
        <v>446</v>
      </c>
      <c r="J270" s="241"/>
      <c r="K270" s="242"/>
      <c r="L270" s="243"/>
      <c r="M270" s="244"/>
      <c r="N270" s="244"/>
      <c r="O270" s="245">
        <f t="shared" si="86"/>
        <v>0</v>
      </c>
      <c r="P270" s="221"/>
      <c r="Q270" s="141"/>
      <c r="R270" s="141"/>
      <c r="S270" s="141"/>
    </row>
    <row r="271" spans="1:19">
      <c r="A271" s="240" t="s">
        <v>447</v>
      </c>
      <c r="B271" s="241"/>
      <c r="C271" s="242"/>
      <c r="D271" s="243"/>
      <c r="E271" s="244"/>
      <c r="F271" s="244"/>
      <c r="G271" s="245">
        <f t="shared" si="85"/>
        <v>0</v>
      </c>
      <c r="H271" s="1024"/>
      <c r="I271" s="240" t="s">
        <v>447</v>
      </c>
      <c r="J271" s="241"/>
      <c r="K271" s="242"/>
      <c r="L271" s="243"/>
      <c r="M271" s="244"/>
      <c r="N271" s="244"/>
      <c r="O271" s="245">
        <f t="shared" si="86"/>
        <v>0</v>
      </c>
      <c r="P271" s="221"/>
      <c r="Q271" s="141"/>
      <c r="R271" s="141"/>
      <c r="S271" s="141"/>
    </row>
    <row r="272" spans="1:19">
      <c r="A272" s="240" t="s">
        <v>448</v>
      </c>
      <c r="B272" s="241"/>
      <c r="C272" s="242"/>
      <c r="D272" s="243"/>
      <c r="E272" s="244"/>
      <c r="F272" s="244"/>
      <c r="G272" s="245">
        <f t="shared" si="85"/>
        <v>0</v>
      </c>
      <c r="H272" s="1024"/>
      <c r="I272" s="240" t="s">
        <v>448</v>
      </c>
      <c r="J272" s="241"/>
      <c r="K272" s="242"/>
      <c r="L272" s="243"/>
      <c r="M272" s="244"/>
      <c r="N272" s="244"/>
      <c r="O272" s="245">
        <f t="shared" si="86"/>
        <v>0</v>
      </c>
      <c r="P272" s="221"/>
      <c r="Q272" s="141"/>
      <c r="S272" s="141"/>
    </row>
    <row r="273" spans="1:19">
      <c r="A273" s="251" t="s">
        <v>449</v>
      </c>
      <c r="B273" s="252"/>
      <c r="C273" s="242">
        <v>6599</v>
      </c>
      <c r="D273" s="243"/>
      <c r="E273" s="244"/>
      <c r="F273" s="244"/>
      <c r="G273" s="245">
        <f t="shared" si="85"/>
        <v>6599</v>
      </c>
      <c r="H273" s="1024"/>
      <c r="I273" s="251" t="s">
        <v>449</v>
      </c>
      <c r="J273" s="252"/>
      <c r="K273" s="242">
        <v>81210</v>
      </c>
      <c r="L273" s="243"/>
      <c r="M273" s="244"/>
      <c r="N273" s="244"/>
      <c r="O273" s="245">
        <f t="shared" si="86"/>
        <v>81210</v>
      </c>
      <c r="P273" s="221"/>
      <c r="Q273" s="141"/>
      <c r="R273" s="141"/>
      <c r="S273" s="141"/>
    </row>
    <row r="274" spans="1:19">
      <c r="A274" s="251" t="s">
        <v>450</v>
      </c>
      <c r="B274" s="252"/>
      <c r="C274" s="242"/>
      <c r="D274" s="243"/>
      <c r="E274" s="244"/>
      <c r="F274" s="244"/>
      <c r="G274" s="245">
        <f t="shared" si="85"/>
        <v>0</v>
      </c>
      <c r="H274" s="1024"/>
      <c r="I274" s="251" t="s">
        <v>450</v>
      </c>
      <c r="J274" s="252"/>
      <c r="K274" s="242"/>
      <c r="L274" s="243"/>
      <c r="M274" s="244"/>
      <c r="N274" s="244"/>
      <c r="O274" s="245">
        <f t="shared" si="86"/>
        <v>0</v>
      </c>
      <c r="P274" s="221"/>
      <c r="Q274" s="141"/>
      <c r="R274" s="141"/>
      <c r="S274" s="141"/>
    </row>
    <row r="275" spans="1:19">
      <c r="A275" s="253" t="s">
        <v>451</v>
      </c>
      <c r="B275" s="254"/>
      <c r="C275" s="255"/>
      <c r="D275" s="256"/>
      <c r="E275" s="257"/>
      <c r="F275" s="257"/>
      <c r="G275" s="245">
        <f t="shared" si="85"/>
        <v>0</v>
      </c>
      <c r="H275" s="1024"/>
      <c r="I275" s="253" t="s">
        <v>451</v>
      </c>
      <c r="J275" s="254"/>
      <c r="K275" s="255"/>
      <c r="L275" s="243"/>
      <c r="M275" s="257"/>
      <c r="N275" s="257"/>
      <c r="O275" s="245">
        <f t="shared" si="86"/>
        <v>0</v>
      </c>
      <c r="P275" s="221"/>
      <c r="Q275" s="141"/>
      <c r="R275" s="141"/>
      <c r="S275" s="141"/>
    </row>
    <row r="276" spans="1:19" ht="12.75" thickBot="1">
      <c r="A276" s="253" t="s">
        <v>452</v>
      </c>
      <c r="B276" s="254"/>
      <c r="C276" s="255"/>
      <c r="D276" s="256"/>
      <c r="E276" s="257"/>
      <c r="F276" s="257"/>
      <c r="G276" s="245">
        <f t="shared" si="85"/>
        <v>0</v>
      </c>
      <c r="H276" s="1024"/>
      <c r="I276" s="253" t="s">
        <v>452</v>
      </c>
      <c r="J276" s="254"/>
      <c r="K276" s="255"/>
      <c r="L276" s="256"/>
      <c r="M276" s="257"/>
      <c r="N276" s="257"/>
      <c r="O276" s="245">
        <f t="shared" si="86"/>
        <v>0</v>
      </c>
      <c r="P276" s="221"/>
      <c r="Q276" s="141"/>
      <c r="R276" s="141"/>
      <c r="S276" s="141"/>
    </row>
    <row r="277" spans="1:19" ht="12.75" thickBot="1">
      <c r="A277" s="220" t="s">
        <v>453</v>
      </c>
      <c r="B277" s="246">
        <f t="shared" ref="B277:G277" si="87">+B269+B270+B271+B272+B273+B274+B275+B276</f>
        <v>0</v>
      </c>
      <c r="C277" s="247">
        <f t="shared" si="87"/>
        <v>6599</v>
      </c>
      <c r="D277" s="248">
        <f t="shared" si="87"/>
        <v>0</v>
      </c>
      <c r="E277" s="246">
        <f t="shared" si="87"/>
        <v>0</v>
      </c>
      <c r="F277" s="246">
        <f t="shared" si="87"/>
        <v>0</v>
      </c>
      <c r="G277" s="247">
        <f t="shared" si="87"/>
        <v>6599</v>
      </c>
      <c r="I277" s="220" t="s">
        <v>453</v>
      </c>
      <c r="J277" s="246">
        <f t="shared" ref="J277:O277" si="88">+J269+J270+J271+J272+J273+J274+J275+J276</f>
        <v>0</v>
      </c>
      <c r="K277" s="247">
        <f t="shared" si="88"/>
        <v>81210</v>
      </c>
      <c r="L277" s="248">
        <f t="shared" si="88"/>
        <v>0</v>
      </c>
      <c r="M277" s="246">
        <f t="shared" si="88"/>
        <v>0</v>
      </c>
      <c r="N277" s="246">
        <f t="shared" si="88"/>
        <v>0</v>
      </c>
      <c r="O277" s="247">
        <f t="shared" si="88"/>
        <v>81210</v>
      </c>
      <c r="P277" s="221"/>
      <c r="R277" s="1024"/>
    </row>
    <row r="278" spans="1:19">
      <c r="A278" s="221"/>
      <c r="B278" s="221"/>
      <c r="C278" s="221"/>
      <c r="D278" s="221"/>
      <c r="E278" s="221"/>
      <c r="F278" s="221"/>
      <c r="G278" s="221"/>
      <c r="H278" s="1024"/>
      <c r="I278" s="221"/>
      <c r="J278" s="221"/>
      <c r="K278" s="221"/>
      <c r="L278" s="221"/>
      <c r="M278" s="221"/>
      <c r="N278" s="221"/>
      <c r="O278" s="221"/>
      <c r="P278" s="221"/>
    </row>
    <row r="280" spans="1:19" s="1017" customFormat="1" ht="15.75">
      <c r="A280" s="219" t="s">
        <v>1389</v>
      </c>
      <c r="B280" s="1147" t="s">
        <v>1406</v>
      </c>
      <c r="C280" s="1147"/>
      <c r="D280" s="1147"/>
      <c r="E280" s="1147"/>
      <c r="F280" s="1147"/>
      <c r="G280" s="1147"/>
      <c r="H280" s="910"/>
      <c r="I280" s="219" t="s">
        <v>1390</v>
      </c>
      <c r="J280" s="1147" t="s">
        <v>1408</v>
      </c>
      <c r="K280" s="1147"/>
      <c r="L280" s="1147"/>
      <c r="M280" s="1147"/>
      <c r="N280" s="1147"/>
      <c r="O280" s="1147"/>
      <c r="P280" s="1147"/>
    </row>
    <row r="281" spans="1:19" s="1017" customFormat="1" ht="15.75" customHeight="1">
      <c r="A281" s="1159" t="s">
        <v>1407</v>
      </c>
      <c r="B281" s="1159"/>
      <c r="C281" s="1159"/>
      <c r="D281" s="1159"/>
      <c r="E281" s="1159"/>
      <c r="F281" s="1159"/>
      <c r="G281" s="1159"/>
      <c r="H281" s="910"/>
      <c r="I281" s="1159" t="s">
        <v>1409</v>
      </c>
      <c r="J281" s="1159"/>
      <c r="K281" s="1159"/>
      <c r="L281" s="1159"/>
      <c r="M281" s="1159"/>
      <c r="N281" s="1159"/>
      <c r="O281" s="1159"/>
      <c r="P281" s="1140"/>
    </row>
    <row r="282" spans="1:19" s="1017" customFormat="1" ht="15.75">
      <c r="A282" s="1236" t="s">
        <v>1109</v>
      </c>
      <c r="B282" s="1236"/>
      <c r="C282" s="1236"/>
      <c r="D282" s="1236"/>
      <c r="E282" s="1236"/>
      <c r="F282" s="1236"/>
      <c r="G282" s="1236"/>
      <c r="H282" s="910"/>
      <c r="I282" s="1236" t="s">
        <v>1109</v>
      </c>
      <c r="J282" s="1236"/>
      <c r="K282" s="1236"/>
      <c r="L282" s="1236"/>
      <c r="M282" s="1236"/>
      <c r="N282" s="1236"/>
      <c r="O282" s="1236"/>
      <c r="P282" s="1146"/>
    </row>
    <row r="283" spans="1:19" s="1020" customFormat="1" ht="12.75" thickBot="1">
      <c r="A283" s="1019"/>
      <c r="B283" s="1019"/>
      <c r="D283" s="1019"/>
      <c r="E283" s="1019"/>
      <c r="G283" s="269" t="s">
        <v>280</v>
      </c>
      <c r="H283" s="1021"/>
      <c r="I283" s="1019"/>
      <c r="J283" s="1019"/>
      <c r="K283" s="1019"/>
      <c r="L283" s="1019"/>
      <c r="M283" s="1019"/>
      <c r="O283" s="269" t="s">
        <v>280</v>
      </c>
      <c r="P283" s="1006"/>
    </row>
    <row r="284" spans="1:19" s="1023" customFormat="1" ht="24.75" thickBot="1">
      <c r="A284" s="442" t="s">
        <v>431</v>
      </c>
      <c r="B284" s="443" t="s">
        <v>1449</v>
      </c>
      <c r="C284" s="227" t="s">
        <v>1442</v>
      </c>
      <c r="D284" s="422" t="s">
        <v>460</v>
      </c>
      <c r="E284" s="423" t="s">
        <v>461</v>
      </c>
      <c r="F284" s="423" t="s">
        <v>1450</v>
      </c>
      <c r="G284" s="1149" t="s">
        <v>18</v>
      </c>
      <c r="H284" s="1026"/>
      <c r="I284" s="442" t="s">
        <v>431</v>
      </c>
      <c r="J284" s="443" t="s">
        <v>1449</v>
      </c>
      <c r="K284" s="227" t="s">
        <v>1442</v>
      </c>
      <c r="L284" s="422" t="s">
        <v>460</v>
      </c>
      <c r="M284" s="423" t="s">
        <v>461</v>
      </c>
      <c r="N284" s="423" t="s">
        <v>1450</v>
      </c>
      <c r="O284" s="1149" t="s">
        <v>18</v>
      </c>
      <c r="P284" s="1007"/>
    </row>
    <row r="285" spans="1:19">
      <c r="A285" s="228" t="s">
        <v>432</v>
      </c>
      <c r="B285" s="229">
        <f t="shared" ref="B285:G285" si="89">+B302-B290-B289-B288-B287</f>
        <v>0</v>
      </c>
      <c r="C285" s="230">
        <f t="shared" si="89"/>
        <v>514107</v>
      </c>
      <c r="D285" s="231">
        <f t="shared" si="89"/>
        <v>0</v>
      </c>
      <c r="E285" s="232">
        <f t="shared" si="89"/>
        <v>0</v>
      </c>
      <c r="F285" s="232">
        <f t="shared" si="89"/>
        <v>0</v>
      </c>
      <c r="G285" s="233">
        <f t="shared" si="89"/>
        <v>514107</v>
      </c>
      <c r="H285" s="1024"/>
      <c r="I285" s="228" t="s">
        <v>432</v>
      </c>
      <c r="J285" s="229">
        <f t="shared" ref="J285:O285" si="90">+J302-J290-J289-J288-J287</f>
        <v>0</v>
      </c>
      <c r="K285" s="230">
        <f t="shared" si="90"/>
        <v>25745</v>
      </c>
      <c r="L285" s="231">
        <f t="shared" si="90"/>
        <v>0</v>
      </c>
      <c r="M285" s="232">
        <f t="shared" si="90"/>
        <v>0</v>
      </c>
      <c r="N285" s="232">
        <f t="shared" si="90"/>
        <v>0</v>
      </c>
      <c r="O285" s="233">
        <f t="shared" si="90"/>
        <v>25745</v>
      </c>
      <c r="P285" s="221"/>
    </row>
    <row r="286" spans="1:19">
      <c r="A286" s="234" t="s">
        <v>433</v>
      </c>
      <c r="B286" s="235"/>
      <c r="C286" s="236"/>
      <c r="D286" s="237"/>
      <c r="E286" s="238"/>
      <c r="F286" s="238"/>
      <c r="G286" s="239">
        <f>+B286+C286+D286+E286+F286</f>
        <v>0</v>
      </c>
      <c r="H286" s="1024"/>
      <c r="I286" s="234" t="s">
        <v>433</v>
      </c>
      <c r="J286" s="235"/>
      <c r="K286" s="236"/>
      <c r="L286" s="237"/>
      <c r="M286" s="238"/>
      <c r="N286" s="238"/>
      <c r="O286" s="239">
        <f>+J286+K286+L286+M286+N286</f>
        <v>0</v>
      </c>
      <c r="P286" s="1008"/>
      <c r="Q286" s="141"/>
    </row>
    <row r="287" spans="1:19">
      <c r="A287" s="240" t="s">
        <v>434</v>
      </c>
      <c r="B287" s="241"/>
      <c r="C287" s="242"/>
      <c r="D287" s="243"/>
      <c r="E287" s="244"/>
      <c r="F287" s="244"/>
      <c r="G287" s="245">
        <f>+B287+C287+D287+E287+F287</f>
        <v>0</v>
      </c>
      <c r="H287" s="1024"/>
      <c r="I287" s="240" t="s">
        <v>434</v>
      </c>
      <c r="J287" s="241"/>
      <c r="K287" s="242"/>
      <c r="L287" s="243"/>
      <c r="M287" s="244"/>
      <c r="N287" s="244"/>
      <c r="O287" s="245">
        <f>+J287+K287+L287+M287+N287</f>
        <v>0</v>
      </c>
      <c r="P287" s="221"/>
      <c r="Q287" s="141"/>
      <c r="R287" s="141"/>
      <c r="S287" s="141"/>
    </row>
    <row r="288" spans="1:19">
      <c r="A288" s="240" t="s">
        <v>435</v>
      </c>
      <c r="B288" s="241"/>
      <c r="C288" s="242"/>
      <c r="D288" s="243"/>
      <c r="E288" s="244"/>
      <c r="F288" s="244"/>
      <c r="G288" s="245">
        <f>+B288+C288+D288+E288+F288</f>
        <v>0</v>
      </c>
      <c r="H288" s="1024"/>
      <c r="I288" s="240" t="s">
        <v>435</v>
      </c>
      <c r="J288" s="241"/>
      <c r="K288" s="242"/>
      <c r="L288" s="243"/>
      <c r="M288" s="244"/>
      <c r="N288" s="244"/>
      <c r="O288" s="245">
        <f>+J288+K288+L288+M288+N288</f>
        <v>0</v>
      </c>
      <c r="P288" s="221"/>
      <c r="Q288" s="141"/>
    </row>
    <row r="289" spans="1:19">
      <c r="A289" s="240" t="s">
        <v>436</v>
      </c>
      <c r="B289" s="241"/>
      <c r="C289" s="242"/>
      <c r="D289" s="243"/>
      <c r="E289" s="244"/>
      <c r="F289" s="244"/>
      <c r="G289" s="245">
        <f>+B289+C289+D289+E289+F289</f>
        <v>0</v>
      </c>
      <c r="H289" s="1024"/>
      <c r="I289" s="240" t="s">
        <v>436</v>
      </c>
      <c r="J289" s="241"/>
      <c r="K289" s="242"/>
      <c r="L289" s="243"/>
      <c r="M289" s="244"/>
      <c r="N289" s="244"/>
      <c r="O289" s="245">
        <f>+J289+K289+L289+M289+N289</f>
        <v>0</v>
      </c>
      <c r="P289" s="221"/>
      <c r="Q289" s="141"/>
    </row>
    <row r="290" spans="1:19" ht="12.75" thickBot="1">
      <c r="A290" s="240" t="s">
        <v>437</v>
      </c>
      <c r="B290" s="241"/>
      <c r="C290" s="242"/>
      <c r="D290" s="243"/>
      <c r="E290" s="244"/>
      <c r="F290" s="244"/>
      <c r="G290" s="245">
        <f>+B290+C290+D290+E290+F290</f>
        <v>0</v>
      </c>
      <c r="H290" s="1024"/>
      <c r="I290" s="240" t="s">
        <v>437</v>
      </c>
      <c r="J290" s="241"/>
      <c r="K290" s="242"/>
      <c r="L290" s="243"/>
      <c r="M290" s="244"/>
      <c r="N290" s="244"/>
      <c r="O290" s="245">
        <f>+J290+K290+L290+M290+N290</f>
        <v>0</v>
      </c>
      <c r="P290" s="221"/>
      <c r="Q290" s="141"/>
    </row>
    <row r="291" spans="1:19" ht="12.75" thickBot="1">
      <c r="A291" s="220" t="s">
        <v>438</v>
      </c>
      <c r="B291" s="246">
        <f t="shared" ref="B291:G291" si="91">+B285+B287+B288+B289+B290</f>
        <v>0</v>
      </c>
      <c r="C291" s="247">
        <f t="shared" si="91"/>
        <v>514107</v>
      </c>
      <c r="D291" s="248">
        <f t="shared" si="91"/>
        <v>0</v>
      </c>
      <c r="E291" s="246">
        <f t="shared" si="91"/>
        <v>0</v>
      </c>
      <c r="F291" s="246">
        <f t="shared" si="91"/>
        <v>0</v>
      </c>
      <c r="G291" s="247">
        <f t="shared" si="91"/>
        <v>514107</v>
      </c>
      <c r="H291" s="1024"/>
      <c r="I291" s="220" t="s">
        <v>438</v>
      </c>
      <c r="J291" s="246">
        <f t="shared" ref="J291:O291" si="92">+J285+J287+J288+J289+J290</f>
        <v>0</v>
      </c>
      <c r="K291" s="247">
        <f t="shared" si="92"/>
        <v>25745</v>
      </c>
      <c r="L291" s="248">
        <f t="shared" si="92"/>
        <v>0</v>
      </c>
      <c r="M291" s="246">
        <f t="shared" si="92"/>
        <v>0</v>
      </c>
      <c r="N291" s="246">
        <f t="shared" si="92"/>
        <v>0</v>
      </c>
      <c r="O291" s="247">
        <f t="shared" si="92"/>
        <v>25745</v>
      </c>
      <c r="P291" s="221"/>
    </row>
    <row r="292" spans="1:19" ht="12.75" thickBot="1">
      <c r="A292" s="249"/>
      <c r="B292" s="249"/>
      <c r="C292" s="249"/>
      <c r="D292" s="249"/>
      <c r="E292" s="249"/>
      <c r="F292" s="249"/>
      <c r="G292" s="249"/>
      <c r="H292" s="1024"/>
      <c r="I292" s="249"/>
      <c r="J292" s="249"/>
      <c r="K292" s="249"/>
      <c r="L292" s="249"/>
      <c r="M292" s="249"/>
      <c r="N292" s="249"/>
      <c r="O292" s="249"/>
      <c r="P292" s="249"/>
    </row>
    <row r="293" spans="1:19" s="1023" customFormat="1" ht="24.75" thickBot="1">
      <c r="A293" s="442" t="s">
        <v>439</v>
      </c>
      <c r="B293" s="443" t="s">
        <v>1449</v>
      </c>
      <c r="C293" s="227" t="s">
        <v>1442</v>
      </c>
      <c r="D293" s="422" t="s">
        <v>460</v>
      </c>
      <c r="E293" s="423" t="s">
        <v>461</v>
      </c>
      <c r="F293" s="423" t="s">
        <v>1450</v>
      </c>
      <c r="G293" s="1149" t="s">
        <v>18</v>
      </c>
      <c r="H293" s="1026"/>
      <c r="I293" s="442" t="s">
        <v>439</v>
      </c>
      <c r="J293" s="443" t="s">
        <v>1449</v>
      </c>
      <c r="K293" s="227" t="s">
        <v>1442</v>
      </c>
      <c r="L293" s="422" t="s">
        <v>460</v>
      </c>
      <c r="M293" s="423" t="s">
        <v>461</v>
      </c>
      <c r="N293" s="423" t="s">
        <v>1450</v>
      </c>
      <c r="O293" s="1149" t="s">
        <v>18</v>
      </c>
      <c r="P293" s="1007"/>
    </row>
    <row r="294" spans="1:19">
      <c r="A294" s="228" t="s">
        <v>445</v>
      </c>
      <c r="B294" s="229"/>
      <c r="C294" s="230"/>
      <c r="D294" s="231"/>
      <c r="E294" s="232"/>
      <c r="F294" s="232"/>
      <c r="G294" s="233">
        <f t="shared" ref="G294:G301" si="93">+B294+C294+D294+E294+F294</f>
        <v>0</v>
      </c>
      <c r="H294" s="1024"/>
      <c r="I294" s="228" t="s">
        <v>445</v>
      </c>
      <c r="J294" s="229"/>
      <c r="K294" s="230"/>
      <c r="L294" s="231"/>
      <c r="M294" s="232"/>
      <c r="N294" s="232"/>
      <c r="O294" s="233">
        <f t="shared" ref="O294:O301" si="94">+J294+K294+L294+M294+N294</f>
        <v>0</v>
      </c>
      <c r="P294" s="221"/>
      <c r="Q294" s="141"/>
      <c r="R294" s="141"/>
      <c r="S294" s="141"/>
    </row>
    <row r="295" spans="1:19">
      <c r="A295" s="250" t="s">
        <v>446</v>
      </c>
      <c r="B295" s="241"/>
      <c r="C295" s="242"/>
      <c r="D295" s="243"/>
      <c r="E295" s="244"/>
      <c r="F295" s="244"/>
      <c r="G295" s="245">
        <f t="shared" si="93"/>
        <v>0</v>
      </c>
      <c r="H295" s="1024"/>
      <c r="I295" s="250" t="s">
        <v>446</v>
      </c>
      <c r="J295" s="241"/>
      <c r="K295" s="242"/>
      <c r="L295" s="243"/>
      <c r="M295" s="244"/>
      <c r="N295" s="244"/>
      <c r="O295" s="245">
        <f t="shared" si="94"/>
        <v>0</v>
      </c>
      <c r="P295" s="221"/>
      <c r="Q295" s="141"/>
      <c r="R295" s="141"/>
      <c r="S295" s="141"/>
    </row>
    <row r="296" spans="1:19">
      <c r="A296" s="240" t="s">
        <v>447</v>
      </c>
      <c r="B296" s="241"/>
      <c r="C296" s="242"/>
      <c r="D296" s="243"/>
      <c r="E296" s="244"/>
      <c r="F296" s="244"/>
      <c r="G296" s="245">
        <f t="shared" si="93"/>
        <v>0</v>
      </c>
      <c r="H296" s="1024"/>
      <c r="I296" s="240" t="s">
        <v>447</v>
      </c>
      <c r="J296" s="241"/>
      <c r="K296" s="242"/>
      <c r="L296" s="243"/>
      <c r="M296" s="244"/>
      <c r="N296" s="244"/>
      <c r="O296" s="245">
        <f t="shared" si="94"/>
        <v>0</v>
      </c>
      <c r="P296" s="221"/>
      <c r="Q296" s="141"/>
      <c r="R296" s="141"/>
      <c r="S296" s="141"/>
    </row>
    <row r="297" spans="1:19">
      <c r="A297" s="240" t="s">
        <v>448</v>
      </c>
      <c r="B297" s="241"/>
      <c r="C297" s="242"/>
      <c r="D297" s="243"/>
      <c r="E297" s="244"/>
      <c r="F297" s="244"/>
      <c r="G297" s="245">
        <f t="shared" si="93"/>
        <v>0</v>
      </c>
      <c r="H297" s="1024"/>
      <c r="I297" s="240" t="s">
        <v>448</v>
      </c>
      <c r="J297" s="241"/>
      <c r="K297" s="242"/>
      <c r="L297" s="243"/>
      <c r="M297" s="244"/>
      <c r="N297" s="244"/>
      <c r="O297" s="245">
        <f t="shared" si="94"/>
        <v>0</v>
      </c>
      <c r="P297" s="221"/>
      <c r="Q297" s="141"/>
      <c r="S297" s="141"/>
    </row>
    <row r="298" spans="1:19">
      <c r="A298" s="251" t="s">
        <v>449</v>
      </c>
      <c r="B298" s="252"/>
      <c r="C298" s="242">
        <v>514107</v>
      </c>
      <c r="D298" s="243"/>
      <c r="E298" s="244"/>
      <c r="F298" s="244"/>
      <c r="G298" s="245">
        <f t="shared" si="93"/>
        <v>514107</v>
      </c>
      <c r="H298" s="1024"/>
      <c r="I298" s="251" t="s">
        <v>449</v>
      </c>
      <c r="J298" s="252"/>
      <c r="K298" s="242">
        <v>25745</v>
      </c>
      <c r="L298" s="243"/>
      <c r="M298" s="244"/>
      <c r="N298" s="244"/>
      <c r="O298" s="245">
        <f t="shared" si="94"/>
        <v>25745</v>
      </c>
      <c r="P298" s="221"/>
      <c r="Q298" s="141"/>
      <c r="R298" s="141"/>
      <c r="S298" s="141"/>
    </row>
    <row r="299" spans="1:19">
      <c r="A299" s="251" t="s">
        <v>450</v>
      </c>
      <c r="B299" s="252"/>
      <c r="C299" s="242"/>
      <c r="D299" s="243"/>
      <c r="E299" s="244"/>
      <c r="F299" s="244"/>
      <c r="G299" s="245">
        <f t="shared" si="93"/>
        <v>0</v>
      </c>
      <c r="H299" s="1024"/>
      <c r="I299" s="251" t="s">
        <v>450</v>
      </c>
      <c r="J299" s="252"/>
      <c r="K299" s="242"/>
      <c r="L299" s="243"/>
      <c r="M299" s="244"/>
      <c r="N299" s="244"/>
      <c r="O299" s="245">
        <f t="shared" si="94"/>
        <v>0</v>
      </c>
      <c r="P299" s="221"/>
      <c r="Q299" s="141"/>
      <c r="R299" s="141"/>
      <c r="S299" s="141"/>
    </row>
    <row r="300" spans="1:19">
      <c r="A300" s="253" t="s">
        <v>451</v>
      </c>
      <c r="B300" s="254"/>
      <c r="C300" s="255"/>
      <c r="D300" s="256"/>
      <c r="E300" s="257"/>
      <c r="F300" s="257"/>
      <c r="G300" s="245">
        <f t="shared" si="93"/>
        <v>0</v>
      </c>
      <c r="H300" s="1024"/>
      <c r="I300" s="253" t="s">
        <v>451</v>
      </c>
      <c r="J300" s="254"/>
      <c r="K300" s="255"/>
      <c r="L300" s="243"/>
      <c r="M300" s="257"/>
      <c r="N300" s="257"/>
      <c r="O300" s="245">
        <f t="shared" si="94"/>
        <v>0</v>
      </c>
      <c r="P300" s="221"/>
      <c r="Q300" s="141"/>
      <c r="R300" s="141"/>
      <c r="S300" s="141"/>
    </row>
    <row r="301" spans="1:19" ht="12.75" thickBot="1">
      <c r="A301" s="253" t="s">
        <v>452</v>
      </c>
      <c r="B301" s="254"/>
      <c r="C301" s="255"/>
      <c r="D301" s="256"/>
      <c r="E301" s="257"/>
      <c r="F301" s="257"/>
      <c r="G301" s="245">
        <f t="shared" si="93"/>
        <v>0</v>
      </c>
      <c r="H301" s="1024"/>
      <c r="I301" s="253" t="s">
        <v>452</v>
      </c>
      <c r="J301" s="254"/>
      <c r="K301" s="255"/>
      <c r="L301" s="256"/>
      <c r="M301" s="257"/>
      <c r="N301" s="257"/>
      <c r="O301" s="245">
        <f t="shared" si="94"/>
        <v>0</v>
      </c>
      <c r="P301" s="221"/>
      <c r="Q301" s="141"/>
      <c r="R301" s="141"/>
      <c r="S301" s="141"/>
    </row>
    <row r="302" spans="1:19" ht="12.75" thickBot="1">
      <c r="A302" s="220" t="s">
        <v>453</v>
      </c>
      <c r="B302" s="246">
        <f t="shared" ref="B302:G302" si="95">+B294+B295+B296+B297+B298+B299+B300+B301</f>
        <v>0</v>
      </c>
      <c r="C302" s="247">
        <f t="shared" si="95"/>
        <v>514107</v>
      </c>
      <c r="D302" s="248">
        <f t="shared" si="95"/>
        <v>0</v>
      </c>
      <c r="E302" s="246">
        <f t="shared" si="95"/>
        <v>0</v>
      </c>
      <c r="F302" s="246">
        <f t="shared" si="95"/>
        <v>0</v>
      </c>
      <c r="G302" s="247">
        <f t="shared" si="95"/>
        <v>514107</v>
      </c>
      <c r="I302" s="220" t="s">
        <v>453</v>
      </c>
      <c r="J302" s="246">
        <f t="shared" ref="J302:O302" si="96">+J294+J295+J296+J297+J298+J299+J300+J301</f>
        <v>0</v>
      </c>
      <c r="K302" s="247">
        <f t="shared" si="96"/>
        <v>25745</v>
      </c>
      <c r="L302" s="248">
        <f t="shared" si="96"/>
        <v>0</v>
      </c>
      <c r="M302" s="246">
        <f t="shared" si="96"/>
        <v>0</v>
      </c>
      <c r="N302" s="246">
        <f t="shared" si="96"/>
        <v>0</v>
      </c>
      <c r="O302" s="247">
        <f t="shared" si="96"/>
        <v>25745</v>
      </c>
      <c r="P302" s="221"/>
      <c r="R302" s="1024"/>
    </row>
    <row r="303" spans="1:19">
      <c r="A303" s="221"/>
      <c r="B303" s="221"/>
      <c r="C303" s="221"/>
      <c r="D303" s="221"/>
      <c r="E303" s="221"/>
      <c r="F303" s="221"/>
      <c r="G303" s="221"/>
      <c r="H303" s="1024"/>
      <c r="I303" s="221"/>
      <c r="J303" s="221"/>
      <c r="K303" s="221"/>
      <c r="L303" s="221"/>
      <c r="M303" s="221"/>
      <c r="N303" s="221"/>
      <c r="O303" s="221"/>
      <c r="P303" s="221"/>
    </row>
    <row r="305" spans="1:19" s="1017" customFormat="1" ht="15.75">
      <c r="A305" s="219" t="s">
        <v>1391</v>
      </c>
      <c r="B305" s="1238" t="s">
        <v>1521</v>
      </c>
      <c r="C305" s="1238"/>
      <c r="D305" s="1238"/>
      <c r="E305" s="1238"/>
      <c r="F305" s="1238"/>
      <c r="G305" s="1238"/>
      <c r="H305" s="910"/>
      <c r="I305" s="219" t="s">
        <v>1392</v>
      </c>
      <c r="J305" s="1239" t="s">
        <v>19</v>
      </c>
      <c r="K305" s="1238"/>
      <c r="L305" s="1238"/>
      <c r="M305" s="1238"/>
      <c r="N305" s="1238"/>
      <c r="O305" s="1238"/>
      <c r="P305" s="1147"/>
    </row>
    <row r="306" spans="1:19" s="1017" customFormat="1" ht="15.75" customHeight="1">
      <c r="A306" s="1159" t="s">
        <v>1420</v>
      </c>
      <c r="B306" s="1159"/>
      <c r="C306" s="1159"/>
      <c r="D306" s="1159"/>
      <c r="E306" s="1159"/>
      <c r="F306" s="1159"/>
      <c r="G306" s="1159"/>
      <c r="H306" s="910"/>
      <c r="I306" s="1159" t="s">
        <v>19</v>
      </c>
      <c r="J306" s="1159"/>
      <c r="K306" s="1159"/>
      <c r="L306" s="1159"/>
      <c r="M306" s="1159"/>
      <c r="N306" s="1159"/>
      <c r="O306" s="1159"/>
      <c r="P306" s="1140"/>
    </row>
    <row r="307" spans="1:19" s="1017" customFormat="1" ht="15.75">
      <c r="A307" s="1236" t="s">
        <v>1109</v>
      </c>
      <c r="B307" s="1236"/>
      <c r="C307" s="1236"/>
      <c r="D307" s="1236"/>
      <c r="E307" s="1236"/>
      <c r="F307" s="1236"/>
      <c r="G307" s="1236"/>
      <c r="H307" s="910"/>
      <c r="I307" s="1236" t="s">
        <v>19</v>
      </c>
      <c r="J307" s="1236"/>
      <c r="K307" s="1236"/>
      <c r="L307" s="1236"/>
      <c r="M307" s="1236"/>
      <c r="N307" s="1236"/>
      <c r="O307" s="1236"/>
      <c r="P307" s="1146"/>
    </row>
    <row r="308" spans="1:19" s="1020" customFormat="1" ht="12.75" thickBot="1">
      <c r="A308" s="1019"/>
      <c r="B308" s="1019"/>
      <c r="D308" s="1019"/>
      <c r="E308" s="1019"/>
      <c r="G308" s="269" t="s">
        <v>280</v>
      </c>
      <c r="H308" s="1021"/>
      <c r="I308" s="1019"/>
      <c r="J308" s="1019"/>
      <c r="L308" s="1019"/>
      <c r="M308" s="1019"/>
      <c r="O308" s="269" t="s">
        <v>280</v>
      </c>
      <c r="P308" s="1006"/>
    </row>
    <row r="309" spans="1:19" s="1023" customFormat="1" ht="24.75" thickBot="1">
      <c r="A309" s="442" t="s">
        <v>431</v>
      </c>
      <c r="B309" s="443" t="s">
        <v>1449</v>
      </c>
      <c r="C309" s="227" t="s">
        <v>1442</v>
      </c>
      <c r="D309" s="422" t="s">
        <v>460</v>
      </c>
      <c r="E309" s="423" t="s">
        <v>461</v>
      </c>
      <c r="F309" s="423" t="s">
        <v>1450</v>
      </c>
      <c r="G309" s="1149" t="s">
        <v>18</v>
      </c>
      <c r="H309" s="1026"/>
      <c r="I309" s="442" t="s">
        <v>431</v>
      </c>
      <c r="J309" s="443" t="s">
        <v>1449</v>
      </c>
      <c r="K309" s="227" t="s">
        <v>1442</v>
      </c>
      <c r="L309" s="422" t="s">
        <v>460</v>
      </c>
      <c r="M309" s="423" t="s">
        <v>461</v>
      </c>
      <c r="N309" s="423" t="s">
        <v>1450</v>
      </c>
      <c r="O309" s="1149" t="s">
        <v>18</v>
      </c>
      <c r="P309" s="1007"/>
    </row>
    <row r="310" spans="1:19">
      <c r="A310" s="228" t="s">
        <v>432</v>
      </c>
      <c r="B310" s="229">
        <f t="shared" ref="B310:G310" si="97">+B327-B315-B314-B313-B312</f>
        <v>0</v>
      </c>
      <c r="C310" s="230">
        <f t="shared" si="97"/>
        <v>20787</v>
      </c>
      <c r="D310" s="231">
        <f t="shared" si="97"/>
        <v>0</v>
      </c>
      <c r="E310" s="232">
        <f t="shared" si="97"/>
        <v>0</v>
      </c>
      <c r="F310" s="232">
        <f t="shared" si="97"/>
        <v>0</v>
      </c>
      <c r="G310" s="233">
        <f t="shared" si="97"/>
        <v>20787</v>
      </c>
      <c r="H310" s="1024"/>
      <c r="I310" s="228" t="s">
        <v>432</v>
      </c>
      <c r="J310" s="229">
        <f t="shared" ref="J310:O310" si="98">+J327-J315-J314-J313-J312</f>
        <v>0</v>
      </c>
      <c r="K310" s="230">
        <f t="shared" si="98"/>
        <v>0</v>
      </c>
      <c r="L310" s="231">
        <f t="shared" si="98"/>
        <v>0</v>
      </c>
      <c r="M310" s="232">
        <f t="shared" si="98"/>
        <v>0</v>
      </c>
      <c r="N310" s="232">
        <f t="shared" si="98"/>
        <v>0</v>
      </c>
      <c r="O310" s="233">
        <f t="shared" si="98"/>
        <v>0</v>
      </c>
      <c r="Q310" s="221">
        <f>+B310+J310+J135++B135+J110+B110+J85+B85+J60+B60+J35+B35+J10+B10+B160+J160+B185+J185+B210+J210+B235+J235+B260+J260+B285+J285</f>
        <v>0</v>
      </c>
    </row>
    <row r="311" spans="1:19">
      <c r="A311" s="234" t="s">
        <v>433</v>
      </c>
      <c r="B311" s="235"/>
      <c r="C311" s="236"/>
      <c r="D311" s="237"/>
      <c r="E311" s="238"/>
      <c r="F311" s="238"/>
      <c r="G311" s="239">
        <f>+B311+C311+D311+E311+F311</f>
        <v>0</v>
      </c>
      <c r="H311" s="1024"/>
      <c r="I311" s="234" t="s">
        <v>433</v>
      </c>
      <c r="J311" s="235"/>
      <c r="K311" s="236"/>
      <c r="L311" s="237"/>
      <c r="M311" s="238"/>
      <c r="N311" s="238"/>
      <c r="O311" s="239">
        <f>+J311+K311+L311+M311+N311</f>
        <v>0</v>
      </c>
      <c r="P311" s="1008"/>
      <c r="Q311" s="141">
        <f>+C11+C36+K11+K36+C61+K61+C86+K86+C111+K111+C136+K136+C311+K311+C161+K161+C186+K186+C211+K211+C236+K236+C261+K261+C286+K286</f>
        <v>0</v>
      </c>
    </row>
    <row r="312" spans="1:19">
      <c r="A312" s="240" t="s">
        <v>434</v>
      </c>
      <c r="B312" s="241"/>
      <c r="C312" s="242"/>
      <c r="D312" s="243"/>
      <c r="E312" s="244"/>
      <c r="F312" s="244"/>
      <c r="G312" s="245">
        <f>+B312+C312+D312+E312+F312</f>
        <v>0</v>
      </c>
      <c r="H312" s="1024"/>
      <c r="I312" s="240" t="s">
        <v>434</v>
      </c>
      <c r="J312" s="241"/>
      <c r="K312" s="242"/>
      <c r="L312" s="243"/>
      <c r="M312" s="244"/>
      <c r="N312" s="244"/>
      <c r="O312" s="245">
        <f>+J312+K312+L312+M312+N312</f>
        <v>0</v>
      </c>
      <c r="P312" s="221"/>
      <c r="Q312" s="141">
        <f t="shared" ref="Q312:Q315" si="99">+C12+C37+K12+K37+C62+K62+C87+K87+C112+K112+C137+K137+C312+K312+C162+K162+C187+K187+C212+K212+C237+K237+C262+K262+C287+K287</f>
        <v>0</v>
      </c>
      <c r="R312" s="1123">
        <f>+'1.mell._Össz_Mérleg2020'!C57</f>
        <v>0</v>
      </c>
      <c r="S312" s="141">
        <f>+Q312-R312</f>
        <v>0</v>
      </c>
    </row>
    <row r="313" spans="1:19">
      <c r="A313" s="240" t="s">
        <v>435</v>
      </c>
      <c r="B313" s="241"/>
      <c r="C313" s="242"/>
      <c r="D313" s="243"/>
      <c r="E313" s="244"/>
      <c r="F313" s="244"/>
      <c r="G313" s="245">
        <f>+B313+C313+D313+E313+F313</f>
        <v>0</v>
      </c>
      <c r="H313" s="1024"/>
      <c r="I313" s="240" t="s">
        <v>435</v>
      </c>
      <c r="J313" s="241"/>
      <c r="K313" s="242"/>
      <c r="L313" s="243"/>
      <c r="M313" s="244"/>
      <c r="N313" s="244"/>
      <c r="O313" s="245">
        <f>+J313+K313+L313+M313+N313</f>
        <v>0</v>
      </c>
      <c r="P313" s="221"/>
      <c r="Q313" s="141">
        <f t="shared" si="99"/>
        <v>0</v>
      </c>
    </row>
    <row r="314" spans="1:19">
      <c r="A314" s="240" t="s">
        <v>436</v>
      </c>
      <c r="B314" s="241"/>
      <c r="C314" s="242"/>
      <c r="D314" s="243"/>
      <c r="E314" s="244"/>
      <c r="F314" s="244"/>
      <c r="G314" s="245">
        <f>+B314+C314+D314+E314+F314</f>
        <v>0</v>
      </c>
      <c r="H314" s="1024"/>
      <c r="I314" s="240" t="s">
        <v>436</v>
      </c>
      <c r="J314" s="241"/>
      <c r="K314" s="242"/>
      <c r="L314" s="243"/>
      <c r="M314" s="244"/>
      <c r="N314" s="244"/>
      <c r="O314" s="245">
        <f>+J314+K314+L314+M314+N314</f>
        <v>0</v>
      </c>
      <c r="P314" s="221"/>
      <c r="Q314" s="141">
        <f t="shared" si="99"/>
        <v>0</v>
      </c>
    </row>
    <row r="315" spans="1:19" ht="12.75" thickBot="1">
      <c r="A315" s="240" t="s">
        <v>437</v>
      </c>
      <c r="B315" s="241"/>
      <c r="C315" s="242"/>
      <c r="D315" s="243"/>
      <c r="E315" s="244"/>
      <c r="F315" s="244"/>
      <c r="G315" s="245">
        <f>+B315+C315+D315+E315+F315</f>
        <v>0</v>
      </c>
      <c r="H315" s="1024"/>
      <c r="I315" s="240" t="s">
        <v>437</v>
      </c>
      <c r="J315" s="241"/>
      <c r="K315" s="242"/>
      <c r="L315" s="243"/>
      <c r="M315" s="244"/>
      <c r="N315" s="244"/>
      <c r="O315" s="245">
        <f>+J315+K315+L315+M315+N315</f>
        <v>0</v>
      </c>
      <c r="P315" s="221"/>
      <c r="Q315" s="141">
        <f t="shared" si="99"/>
        <v>0</v>
      </c>
    </row>
    <row r="316" spans="1:19" ht="12.75" thickBot="1">
      <c r="A316" s="220" t="s">
        <v>438</v>
      </c>
      <c r="B316" s="246">
        <f t="shared" ref="B316:G316" si="100">+B310+B312+B313+B314+B315</f>
        <v>0</v>
      </c>
      <c r="C316" s="247">
        <f t="shared" si="100"/>
        <v>20787</v>
      </c>
      <c r="D316" s="248">
        <f t="shared" si="100"/>
        <v>0</v>
      </c>
      <c r="E316" s="246">
        <f t="shared" si="100"/>
        <v>0</v>
      </c>
      <c r="F316" s="246">
        <f t="shared" si="100"/>
        <v>0</v>
      </c>
      <c r="G316" s="247">
        <f t="shared" si="100"/>
        <v>20787</v>
      </c>
      <c r="H316" s="1024"/>
      <c r="I316" s="220" t="s">
        <v>438</v>
      </c>
      <c r="J316" s="246">
        <f t="shared" ref="J316:O316" si="101">+J310+J312+J313+J314+J315</f>
        <v>0</v>
      </c>
      <c r="K316" s="247">
        <f t="shared" si="101"/>
        <v>0</v>
      </c>
      <c r="L316" s="248">
        <f t="shared" si="101"/>
        <v>0</v>
      </c>
      <c r="M316" s="246">
        <f t="shared" si="101"/>
        <v>0</v>
      </c>
      <c r="N316" s="246">
        <f t="shared" si="101"/>
        <v>0</v>
      </c>
      <c r="O316" s="247">
        <f t="shared" si="101"/>
        <v>0</v>
      </c>
      <c r="P316" s="221"/>
    </row>
    <row r="317" spans="1:19" ht="12.75" thickBot="1">
      <c r="A317" s="249"/>
      <c r="B317" s="249"/>
      <c r="C317" s="249"/>
      <c r="D317" s="249"/>
      <c r="E317" s="249"/>
      <c r="F317" s="249"/>
      <c r="G317" s="249"/>
      <c r="H317" s="1024"/>
      <c r="I317" s="249"/>
      <c r="J317" s="249"/>
      <c r="K317" s="249"/>
      <c r="L317" s="249"/>
      <c r="M317" s="249"/>
      <c r="N317" s="249"/>
      <c r="O317" s="249"/>
      <c r="P317" s="249"/>
      <c r="Q317" s="141"/>
    </row>
    <row r="318" spans="1:19" s="1023" customFormat="1" ht="24.75" thickBot="1">
      <c r="A318" s="442" t="s">
        <v>439</v>
      </c>
      <c r="B318" s="443" t="s">
        <v>1449</v>
      </c>
      <c r="C318" s="227" t="s">
        <v>1442</v>
      </c>
      <c r="D318" s="422" t="s">
        <v>460</v>
      </c>
      <c r="E318" s="423" t="s">
        <v>461</v>
      </c>
      <c r="F318" s="423" t="s">
        <v>1450</v>
      </c>
      <c r="G318" s="1149" t="s">
        <v>18</v>
      </c>
      <c r="H318" s="1026"/>
      <c r="I318" s="442" t="s">
        <v>439</v>
      </c>
      <c r="J318" s="443" t="s">
        <v>1449</v>
      </c>
      <c r="K318" s="227" t="s">
        <v>1442</v>
      </c>
      <c r="L318" s="422" t="s">
        <v>460</v>
      </c>
      <c r="M318" s="423" t="s">
        <v>461</v>
      </c>
      <c r="N318" s="423" t="s">
        <v>1450</v>
      </c>
      <c r="O318" s="1149" t="s">
        <v>18</v>
      </c>
      <c r="P318" s="1007"/>
    </row>
    <row r="319" spans="1:19">
      <c r="A319" s="228" t="s">
        <v>445</v>
      </c>
      <c r="B319" s="229"/>
      <c r="C319" s="230"/>
      <c r="D319" s="231"/>
      <c r="E319" s="232"/>
      <c r="F319" s="232"/>
      <c r="G319" s="233">
        <f t="shared" ref="G319:G326" si="102">+B319+C319+D319+E319+F319</f>
        <v>0</v>
      </c>
      <c r="H319" s="1024"/>
      <c r="I319" s="228" t="s">
        <v>445</v>
      </c>
      <c r="J319" s="229"/>
      <c r="K319" s="230"/>
      <c r="L319" s="231"/>
      <c r="M319" s="232"/>
      <c r="N319" s="232"/>
      <c r="O319" s="233">
        <f t="shared" ref="O319:O326" si="103">+J319+K319+L319+M319+N319</f>
        <v>0</v>
      </c>
      <c r="P319" s="221"/>
      <c r="Q319" s="141">
        <f t="shared" ref="Q319:Q327" si="104">+C19+C44+K19+K44+C69+K69+C94+K94+C119+K119+C144+K144+C319+K319+C169+K169+C194+K194+C219+K219+C244+K244+C269+K269+C294+K294</f>
        <v>0</v>
      </c>
      <c r="R319" s="141">
        <f>+'1.mell._Össz_Mérleg2020'!C111</f>
        <v>0</v>
      </c>
      <c r="S319" s="141">
        <f t="shared" ref="S319:S326" si="105">+Q319-R319</f>
        <v>0</v>
      </c>
    </row>
    <row r="320" spans="1:19">
      <c r="A320" s="250" t="s">
        <v>446</v>
      </c>
      <c r="B320" s="241"/>
      <c r="C320" s="242"/>
      <c r="D320" s="243"/>
      <c r="E320" s="244"/>
      <c r="F320" s="244"/>
      <c r="G320" s="245">
        <f t="shared" si="102"/>
        <v>0</v>
      </c>
      <c r="H320" s="1024"/>
      <c r="I320" s="250" t="s">
        <v>446</v>
      </c>
      <c r="J320" s="241"/>
      <c r="K320" s="242"/>
      <c r="L320" s="243"/>
      <c r="M320" s="244"/>
      <c r="N320" s="244"/>
      <c r="O320" s="245">
        <f t="shared" si="103"/>
        <v>0</v>
      </c>
      <c r="P320" s="221"/>
      <c r="Q320" s="141">
        <f t="shared" si="104"/>
        <v>0</v>
      </c>
      <c r="R320" s="141">
        <f>+'1.mell._Össz_Mérleg2020'!C115</f>
        <v>0</v>
      </c>
      <c r="S320" s="141">
        <f t="shared" si="105"/>
        <v>0</v>
      </c>
    </row>
    <row r="321" spans="1:21">
      <c r="A321" s="240" t="s">
        <v>447</v>
      </c>
      <c r="B321" s="241"/>
      <c r="C321" s="242"/>
      <c r="D321" s="243"/>
      <c r="E321" s="244"/>
      <c r="F321" s="244"/>
      <c r="G321" s="245">
        <f t="shared" si="102"/>
        <v>0</v>
      </c>
      <c r="H321" s="1024"/>
      <c r="I321" s="240" t="s">
        <v>447</v>
      </c>
      <c r="J321" s="241"/>
      <c r="K321" s="242"/>
      <c r="L321" s="243"/>
      <c r="M321" s="244"/>
      <c r="N321" s="244"/>
      <c r="O321" s="245">
        <f t="shared" si="103"/>
        <v>0</v>
      </c>
      <c r="P321" s="221"/>
      <c r="Q321" s="141">
        <f t="shared" si="104"/>
        <v>0</v>
      </c>
      <c r="R321" s="141">
        <f>+'1.mell._Össz_Mérleg2020'!C117</f>
        <v>0</v>
      </c>
      <c r="S321" s="141">
        <f t="shared" si="105"/>
        <v>0</v>
      </c>
    </row>
    <row r="322" spans="1:21">
      <c r="A322" s="240" t="s">
        <v>448</v>
      </c>
      <c r="B322" s="241"/>
      <c r="C322" s="242"/>
      <c r="D322" s="243"/>
      <c r="E322" s="244"/>
      <c r="F322" s="244"/>
      <c r="G322" s="245">
        <f t="shared" si="102"/>
        <v>0</v>
      </c>
      <c r="H322" s="1024"/>
      <c r="I322" s="240" t="s">
        <v>448</v>
      </c>
      <c r="J322" s="241"/>
      <c r="K322" s="242"/>
      <c r="L322" s="243"/>
      <c r="M322" s="244"/>
      <c r="N322" s="244"/>
      <c r="O322" s="245">
        <f t="shared" si="103"/>
        <v>0</v>
      </c>
      <c r="P322" s="221"/>
      <c r="Q322" s="141">
        <f t="shared" si="104"/>
        <v>0</v>
      </c>
      <c r="S322" s="141">
        <f t="shared" si="105"/>
        <v>0</v>
      </c>
    </row>
    <row r="323" spans="1:21">
      <c r="A323" s="251" t="s">
        <v>449</v>
      </c>
      <c r="B323" s="252"/>
      <c r="C323" s="242">
        <v>20787</v>
      </c>
      <c r="D323" s="243"/>
      <c r="E323" s="244"/>
      <c r="F323" s="244"/>
      <c r="G323" s="245">
        <f t="shared" si="102"/>
        <v>20787</v>
      </c>
      <c r="H323" s="1024"/>
      <c r="I323" s="251" t="s">
        <v>449</v>
      </c>
      <c r="J323" s="252"/>
      <c r="K323" s="242"/>
      <c r="L323" s="243"/>
      <c r="M323" s="244"/>
      <c r="N323" s="244"/>
      <c r="O323" s="245">
        <f t="shared" si="103"/>
        <v>0</v>
      </c>
      <c r="P323" s="221"/>
      <c r="Q323" s="141">
        <f t="shared" si="104"/>
        <v>2481158</v>
      </c>
      <c r="R323" s="141">
        <f>+'1.mell._Össz_Mérleg2020'!C139</f>
        <v>0</v>
      </c>
      <c r="S323" s="141">
        <f t="shared" si="105"/>
        <v>2481158</v>
      </c>
      <c r="T323" s="141">
        <v>2481158</v>
      </c>
      <c r="U323" s="141">
        <f>+S323-T323</f>
        <v>0</v>
      </c>
    </row>
    <row r="324" spans="1:21">
      <c r="A324" s="251" t="s">
        <v>450</v>
      </c>
      <c r="B324" s="252"/>
      <c r="C324" s="242"/>
      <c r="D324" s="243"/>
      <c r="E324" s="244"/>
      <c r="F324" s="244"/>
      <c r="G324" s="245">
        <f t="shared" si="102"/>
        <v>0</v>
      </c>
      <c r="H324" s="1024"/>
      <c r="I324" s="251" t="s">
        <v>450</v>
      </c>
      <c r="J324" s="252"/>
      <c r="K324" s="242"/>
      <c r="L324" s="243"/>
      <c r="M324" s="244"/>
      <c r="N324" s="244"/>
      <c r="O324" s="245">
        <f t="shared" si="103"/>
        <v>0</v>
      </c>
      <c r="Q324" s="141">
        <f t="shared" si="104"/>
        <v>0</v>
      </c>
      <c r="R324" s="141">
        <f>+'1.mell._Össz_Mérleg2020'!C151</f>
        <v>0</v>
      </c>
      <c r="S324" s="141">
        <f t="shared" si="105"/>
        <v>0</v>
      </c>
    </row>
    <row r="325" spans="1:21">
      <c r="A325" s="253" t="s">
        <v>451</v>
      </c>
      <c r="B325" s="254"/>
      <c r="C325" s="255"/>
      <c r="D325" s="256"/>
      <c r="E325" s="257"/>
      <c r="F325" s="257"/>
      <c r="G325" s="245">
        <f t="shared" si="102"/>
        <v>0</v>
      </c>
      <c r="H325" s="1024"/>
      <c r="I325" s="253" t="s">
        <v>451</v>
      </c>
      <c r="J325" s="254"/>
      <c r="K325" s="255"/>
      <c r="L325" s="256"/>
      <c r="M325" s="257"/>
      <c r="N325" s="257"/>
      <c r="O325" s="245">
        <f t="shared" si="103"/>
        <v>0</v>
      </c>
      <c r="P325" s="221"/>
      <c r="Q325" s="141">
        <f t="shared" si="104"/>
        <v>0</v>
      </c>
      <c r="R325" s="141">
        <f>+'1.mell._Össz_Mérleg2020'!C160</f>
        <v>0</v>
      </c>
      <c r="S325" s="141">
        <f t="shared" si="105"/>
        <v>0</v>
      </c>
    </row>
    <row r="326" spans="1:21" ht="12.75" thickBot="1">
      <c r="A326" s="253" t="s">
        <v>452</v>
      </c>
      <c r="B326" s="254"/>
      <c r="C326" s="255"/>
      <c r="D326" s="256"/>
      <c r="E326" s="257"/>
      <c r="F326" s="257"/>
      <c r="G326" s="245">
        <f t="shared" si="102"/>
        <v>0</v>
      </c>
      <c r="H326" s="1024"/>
      <c r="I326" s="253" t="s">
        <v>452</v>
      </c>
      <c r="J326" s="254"/>
      <c r="K326" s="255"/>
      <c r="L326" s="256"/>
      <c r="M326" s="257"/>
      <c r="N326" s="257"/>
      <c r="O326" s="245">
        <f t="shared" si="103"/>
        <v>0</v>
      </c>
      <c r="P326" s="221"/>
      <c r="Q326" s="141">
        <f t="shared" si="104"/>
        <v>0</v>
      </c>
      <c r="R326" s="141">
        <f>+'1.mell._Össz_Mérleg2020'!C170</f>
        <v>0</v>
      </c>
      <c r="S326" s="141">
        <f t="shared" si="105"/>
        <v>0</v>
      </c>
    </row>
    <row r="327" spans="1:21" ht="12.75" thickBot="1">
      <c r="A327" s="220" t="s">
        <v>453</v>
      </c>
      <c r="B327" s="246">
        <f t="shared" ref="B327:G327" si="106">+B319+B320+B321+B322+B323+B324+B325+B326</f>
        <v>0</v>
      </c>
      <c r="C327" s="247">
        <f t="shared" si="106"/>
        <v>20787</v>
      </c>
      <c r="D327" s="248">
        <f t="shared" si="106"/>
        <v>0</v>
      </c>
      <c r="E327" s="246">
        <f t="shared" si="106"/>
        <v>0</v>
      </c>
      <c r="F327" s="246">
        <f t="shared" si="106"/>
        <v>0</v>
      </c>
      <c r="G327" s="247">
        <f t="shared" si="106"/>
        <v>20787</v>
      </c>
      <c r="I327" s="220" t="s">
        <v>453</v>
      </c>
      <c r="J327" s="246">
        <f t="shared" ref="J327:O327" si="107">+J319+J320+J321+J322+J323+J324+J325+J326</f>
        <v>0</v>
      </c>
      <c r="K327" s="247">
        <f t="shared" si="107"/>
        <v>0</v>
      </c>
      <c r="L327" s="248">
        <f t="shared" si="107"/>
        <v>0</v>
      </c>
      <c r="M327" s="246">
        <f t="shared" si="107"/>
        <v>0</v>
      </c>
      <c r="N327" s="246">
        <f t="shared" si="107"/>
        <v>0</v>
      </c>
      <c r="O327" s="247">
        <f t="shared" si="107"/>
        <v>0</v>
      </c>
      <c r="P327" s="221"/>
      <c r="Q327" s="141">
        <f t="shared" si="104"/>
        <v>2481158</v>
      </c>
      <c r="R327" s="1024"/>
    </row>
    <row r="328" spans="1:21">
      <c r="A328" s="221"/>
      <c r="B328" s="221"/>
      <c r="C328" s="221"/>
      <c r="D328" s="221"/>
      <c r="E328" s="221"/>
      <c r="F328" s="221"/>
      <c r="G328" s="221"/>
      <c r="H328" s="1024"/>
      <c r="I328" s="221"/>
      <c r="J328" s="221"/>
      <c r="K328" s="221"/>
      <c r="L328" s="221"/>
      <c r="M328" s="221"/>
      <c r="N328" s="221"/>
      <c r="O328" s="221"/>
      <c r="P328" s="221"/>
    </row>
    <row r="330" spans="1:21" s="1017" customFormat="1" ht="15.75">
      <c r="A330" s="1237" t="s">
        <v>1451</v>
      </c>
      <c r="B330" s="1237"/>
      <c r="C330" s="1237"/>
      <c r="D330" s="1237"/>
      <c r="E330" s="1237"/>
      <c r="F330" s="1237"/>
      <c r="G330" s="1237"/>
      <c r="H330" s="911"/>
      <c r="I330" s="222"/>
      <c r="J330" s="222"/>
      <c r="K330" s="675"/>
      <c r="L330" s="675"/>
      <c r="M330" s="675"/>
      <c r="N330" s="675"/>
      <c r="O330" s="675"/>
      <c r="P330" s="675"/>
    </row>
    <row r="331" spans="1:21" s="1020" customFormat="1" ht="12.75" thickBot="1">
      <c r="A331" s="1019"/>
      <c r="B331" s="1019"/>
      <c r="C331" s="1019"/>
      <c r="D331" s="1019"/>
      <c r="E331" s="1019"/>
      <c r="G331" s="269" t="s">
        <v>280</v>
      </c>
      <c r="H331" s="1021"/>
      <c r="I331" s="1019"/>
      <c r="J331" s="1019"/>
      <c r="K331" s="1019"/>
      <c r="L331" s="1019"/>
      <c r="M331" s="1019"/>
      <c r="N331" s="1019"/>
      <c r="O331" s="1019"/>
      <c r="P331" s="1019"/>
    </row>
    <row r="332" spans="1:21" s="1029" customFormat="1" ht="24.75" thickBot="1">
      <c r="A332" s="1150" t="s">
        <v>439</v>
      </c>
      <c r="B332" s="1125" t="s">
        <v>1449</v>
      </c>
      <c r="C332" s="227" t="s">
        <v>1442</v>
      </c>
      <c r="D332" s="1015" t="s">
        <v>460</v>
      </c>
      <c r="E332" s="1016" t="s">
        <v>461</v>
      </c>
      <c r="F332" s="1016" t="s">
        <v>1450</v>
      </c>
      <c r="G332" s="970" t="s">
        <v>18</v>
      </c>
      <c r="H332" s="1028"/>
      <c r="I332" s="677"/>
      <c r="J332" s="677"/>
      <c r="K332" s="677"/>
      <c r="L332" s="677"/>
      <c r="M332" s="677"/>
      <c r="N332" s="677"/>
      <c r="O332" s="677"/>
      <c r="P332" s="677"/>
    </row>
    <row r="333" spans="1:21">
      <c r="A333" s="1009" t="s">
        <v>19</v>
      </c>
      <c r="B333" s="1010"/>
      <c r="C333" s="1011"/>
      <c r="D333" s="1012"/>
      <c r="E333" s="1013"/>
      <c r="F333" s="1014"/>
      <c r="G333" s="534">
        <f>+B333+C333+D333+E333+F333</f>
        <v>0</v>
      </c>
      <c r="H333" s="1024"/>
      <c r="I333" s="1030"/>
      <c r="J333" s="1030"/>
      <c r="K333" s="1030"/>
      <c r="L333" s="1030"/>
      <c r="M333" s="1030"/>
      <c r="N333" s="1030"/>
      <c r="O333" s="1030"/>
      <c r="P333" s="1030"/>
    </row>
    <row r="334" spans="1:21" ht="12.75" thickBot="1">
      <c r="A334" s="258"/>
      <c r="B334" s="259"/>
      <c r="C334" s="259"/>
      <c r="D334" s="260"/>
      <c r="E334" s="261"/>
      <c r="F334" s="262"/>
      <c r="G334" s="263"/>
      <c r="H334" s="1024"/>
      <c r="I334" s="1030"/>
      <c r="J334" s="1030"/>
      <c r="K334" s="1030"/>
      <c r="L334" s="1030"/>
      <c r="M334" s="1030"/>
      <c r="N334" s="1030"/>
      <c r="O334" s="1030"/>
      <c r="P334" s="1030"/>
    </row>
    <row r="335" spans="1:21" ht="12.75" thickBot="1">
      <c r="A335" s="223" t="s">
        <v>440</v>
      </c>
      <c r="B335" s="264">
        <f>+B333+B334</f>
        <v>0</v>
      </c>
      <c r="C335" s="268">
        <f t="shared" ref="C335:G335" si="108">+C333+C334</f>
        <v>0</v>
      </c>
      <c r="D335" s="265">
        <f t="shared" si="108"/>
        <v>0</v>
      </c>
      <c r="E335" s="266">
        <f t="shared" si="108"/>
        <v>0</v>
      </c>
      <c r="F335" s="267">
        <f t="shared" si="108"/>
        <v>0</v>
      </c>
      <c r="G335" s="268">
        <f t="shared" si="108"/>
        <v>0</v>
      </c>
    </row>
    <row r="337" spans="1:7">
      <c r="A337" s="225"/>
      <c r="B337" s="1030"/>
      <c r="C337" s="1030"/>
      <c r="D337" s="1030"/>
      <c r="E337" s="1030"/>
      <c r="F337" s="1030"/>
      <c r="G337" s="1030"/>
    </row>
  </sheetData>
  <mergeCells count="66">
    <mergeCell ref="A7:G7"/>
    <mergeCell ref="I7:O7"/>
    <mergeCell ref="A3:O3"/>
    <mergeCell ref="B5:G5"/>
    <mergeCell ref="J5:O5"/>
    <mergeCell ref="A6:G6"/>
    <mergeCell ref="I6:O6"/>
    <mergeCell ref="B30:G30"/>
    <mergeCell ref="J30:O30"/>
    <mergeCell ref="A31:G31"/>
    <mergeCell ref="I31:O31"/>
    <mergeCell ref="A32:G32"/>
    <mergeCell ref="I32:O32"/>
    <mergeCell ref="B55:G55"/>
    <mergeCell ref="J55:O55"/>
    <mergeCell ref="A56:G56"/>
    <mergeCell ref="I56:O56"/>
    <mergeCell ref="A57:G57"/>
    <mergeCell ref="I57:O57"/>
    <mergeCell ref="A106:G106"/>
    <mergeCell ref="I106:O106"/>
    <mergeCell ref="A107:G107"/>
    <mergeCell ref="I107:O107"/>
    <mergeCell ref="B80:G80"/>
    <mergeCell ref="J80:O80"/>
    <mergeCell ref="A81:G81"/>
    <mergeCell ref="I81:O81"/>
    <mergeCell ref="A82:G82"/>
    <mergeCell ref="I82:O82"/>
    <mergeCell ref="B130:G130"/>
    <mergeCell ref="J130:O130"/>
    <mergeCell ref="A131:G131"/>
    <mergeCell ref="I131:O131"/>
    <mergeCell ref="A132:G132"/>
    <mergeCell ref="I132:O132"/>
    <mergeCell ref="A330:G330"/>
    <mergeCell ref="B305:G305"/>
    <mergeCell ref="J305:O305"/>
    <mergeCell ref="A306:G306"/>
    <mergeCell ref="I306:O306"/>
    <mergeCell ref="A307:G307"/>
    <mergeCell ref="I307:O307"/>
    <mergeCell ref="A181:G181"/>
    <mergeCell ref="I181:O181"/>
    <mergeCell ref="A182:G182"/>
    <mergeCell ref="I182:O182"/>
    <mergeCell ref="A156:G156"/>
    <mergeCell ref="I156:O156"/>
    <mergeCell ref="A157:G157"/>
    <mergeCell ref="I157:O157"/>
    <mergeCell ref="A282:G282"/>
    <mergeCell ref="I282:O282"/>
    <mergeCell ref="A206:G206"/>
    <mergeCell ref="I206:O206"/>
    <mergeCell ref="A207:G207"/>
    <mergeCell ref="I207:O207"/>
    <mergeCell ref="A256:G256"/>
    <mergeCell ref="I256:O256"/>
    <mergeCell ref="A257:G257"/>
    <mergeCell ref="I257:O257"/>
    <mergeCell ref="A231:G231"/>
    <mergeCell ref="I231:O231"/>
    <mergeCell ref="A232:G232"/>
    <mergeCell ref="I232:O232"/>
    <mergeCell ref="A281:G281"/>
    <mergeCell ref="I281:O281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42" fitToHeight="2" orientation="landscape" r:id="rId1"/>
  <headerFooter>
    <oddHeader xml:space="preserve">&amp;C4. melléklet - &amp;P. oldal </oddHeader>
  </headerFooter>
  <rowBreaks count="4" manualBreakCount="4">
    <brk id="79" max="20" man="1"/>
    <brk id="154" max="14" man="1"/>
    <brk id="229" max="14" man="1"/>
    <brk id="304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sheetPr codeName="Munka18">
    <tabColor rgb="FF00B0F0"/>
    <pageSetUpPr fitToPage="1"/>
  </sheetPr>
  <dimension ref="A1:U52"/>
  <sheetViews>
    <sheetView zoomScaleNormal="100" workbookViewId="0"/>
  </sheetViews>
  <sheetFormatPr defaultColWidth="9.140625" defaultRowHeight="12"/>
  <cols>
    <col min="1" max="1" width="5" style="209" customWidth="1"/>
    <col min="2" max="2" width="42.5703125" style="209" bestFit="1" customWidth="1"/>
    <col min="3" max="3" width="9.5703125" style="209" customWidth="1"/>
    <col min="4" max="20" width="7.28515625" style="209" bestFit="1" customWidth="1"/>
    <col min="21" max="21" width="10.28515625" style="209" customWidth="1"/>
    <col min="22" max="16384" width="9.140625" style="209"/>
  </cols>
  <sheetData>
    <row r="1" spans="1:21" s="210" customFormat="1" ht="15.75">
      <c r="A1" s="169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218" t="s">
        <v>455</v>
      </c>
    </row>
    <row r="2" spans="1:21" s="210" customFormat="1" ht="15.75">
      <c r="A2" s="169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218"/>
    </row>
    <row r="3" spans="1:21" s="210" customFormat="1" ht="15.75">
      <c r="A3" s="1245" t="s">
        <v>456</v>
      </c>
      <c r="B3" s="1245"/>
      <c r="C3" s="1245"/>
      <c r="D3" s="1245"/>
      <c r="E3" s="1245"/>
      <c r="F3" s="1245"/>
      <c r="G3" s="1245"/>
      <c r="H3" s="1245"/>
      <c r="I3" s="1245"/>
      <c r="J3" s="1245"/>
      <c r="K3" s="1245"/>
      <c r="L3" s="1245"/>
      <c r="M3" s="1245"/>
      <c r="N3" s="1245"/>
      <c r="O3" s="1245"/>
      <c r="P3" s="1245"/>
      <c r="Q3" s="1245"/>
      <c r="R3" s="1245"/>
      <c r="S3" s="1245"/>
      <c r="T3" s="1245"/>
      <c r="U3" s="1245"/>
    </row>
    <row r="4" spans="1:21" ht="12.75" thickBot="1">
      <c r="A4" s="171"/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273" t="s">
        <v>49</v>
      </c>
    </row>
    <row r="5" spans="1:21" ht="14.25" thickBot="1">
      <c r="A5" s="1246" t="s">
        <v>17</v>
      </c>
      <c r="B5" s="1248" t="s">
        <v>7</v>
      </c>
      <c r="C5" s="1250" t="s">
        <v>476</v>
      </c>
      <c r="D5" s="1251"/>
      <c r="E5" s="1251"/>
      <c r="F5" s="1251"/>
      <c r="G5" s="1251"/>
      <c r="H5" s="1251"/>
      <c r="I5" s="1251"/>
      <c r="J5" s="1251"/>
      <c r="K5" s="1251"/>
      <c r="L5" s="1251"/>
      <c r="M5" s="1251"/>
      <c r="N5" s="1251"/>
      <c r="O5" s="1251"/>
      <c r="P5" s="1251"/>
      <c r="Q5" s="1251"/>
      <c r="R5" s="1251"/>
      <c r="S5" s="1251"/>
      <c r="T5" s="1251"/>
      <c r="U5" s="1252" t="s">
        <v>18</v>
      </c>
    </row>
    <row r="6" spans="1:21" ht="24.75" thickBot="1">
      <c r="A6" s="1247"/>
      <c r="B6" s="1249"/>
      <c r="C6" s="227" t="s">
        <v>1442</v>
      </c>
      <c r="D6" s="272" t="s">
        <v>460</v>
      </c>
      <c r="E6" s="272" t="s">
        <v>461</v>
      </c>
      <c r="F6" s="272" t="s">
        <v>462</v>
      </c>
      <c r="G6" s="272" t="s">
        <v>463</v>
      </c>
      <c r="H6" s="272" t="s">
        <v>464</v>
      </c>
      <c r="I6" s="272" t="s">
        <v>979</v>
      </c>
      <c r="J6" s="272" t="s">
        <v>1104</v>
      </c>
      <c r="K6" s="272" t="s">
        <v>1131</v>
      </c>
      <c r="L6" s="272" t="s">
        <v>1132</v>
      </c>
      <c r="M6" s="272" t="s">
        <v>1133</v>
      </c>
      <c r="N6" s="272" t="s">
        <v>1134</v>
      </c>
      <c r="O6" s="272" t="s">
        <v>1135</v>
      </c>
      <c r="P6" s="272" t="s">
        <v>1136</v>
      </c>
      <c r="Q6" s="272" t="s">
        <v>1137</v>
      </c>
      <c r="R6" s="272" t="s">
        <v>1138</v>
      </c>
      <c r="S6" s="272" t="s">
        <v>1139</v>
      </c>
      <c r="T6" s="272" t="s">
        <v>1140</v>
      </c>
      <c r="U6" s="1253"/>
    </row>
    <row r="7" spans="1:21" ht="12.75" thickBot="1">
      <c r="A7" s="271">
        <v>1</v>
      </c>
      <c r="B7" s="270">
        <v>2</v>
      </c>
      <c r="C7" s="303">
        <v>3</v>
      </c>
      <c r="D7" s="274">
        <v>4</v>
      </c>
      <c r="E7" s="274">
        <v>5</v>
      </c>
      <c r="F7" s="274">
        <v>6</v>
      </c>
      <c r="G7" s="274">
        <v>7</v>
      </c>
      <c r="H7" s="274">
        <v>8</v>
      </c>
      <c r="I7" s="274">
        <v>10</v>
      </c>
      <c r="J7" s="274">
        <v>11</v>
      </c>
      <c r="K7" s="274">
        <v>12</v>
      </c>
      <c r="L7" s="274">
        <v>13</v>
      </c>
      <c r="M7" s="274">
        <v>14</v>
      </c>
      <c r="N7" s="274">
        <v>15</v>
      </c>
      <c r="O7" s="274">
        <v>16</v>
      </c>
      <c r="P7" s="274">
        <v>17</v>
      </c>
      <c r="Q7" s="274">
        <v>18</v>
      </c>
      <c r="R7" s="274">
        <v>19</v>
      </c>
      <c r="S7" s="274">
        <v>20</v>
      </c>
      <c r="T7" s="274">
        <v>21</v>
      </c>
      <c r="U7" s="275" t="s">
        <v>1452</v>
      </c>
    </row>
    <row r="8" spans="1:21">
      <c r="A8" s="319" t="s">
        <v>4</v>
      </c>
      <c r="B8" s="971" t="s">
        <v>964</v>
      </c>
      <c r="C8" s="304">
        <v>367102</v>
      </c>
      <c r="D8" s="1372">
        <f>+ROUND(C8*1.035,0)</f>
        <v>379951</v>
      </c>
      <c r="E8" s="1372">
        <f>+ROUND(D8*1.03,0)</f>
        <v>391350</v>
      </c>
      <c r="F8" s="1372">
        <f>+ROUND(E8*1.034,0)</f>
        <v>404656</v>
      </c>
      <c r="G8" s="277">
        <f t="shared" ref="G8:T13" si="0">+F8</f>
        <v>404656</v>
      </c>
      <c r="H8" s="277">
        <f t="shared" ref="H8:I13" si="1">+G8</f>
        <v>404656</v>
      </c>
      <c r="I8" s="277">
        <f t="shared" si="1"/>
        <v>404656</v>
      </c>
      <c r="J8" s="277">
        <f t="shared" si="0"/>
        <v>404656</v>
      </c>
      <c r="K8" s="277">
        <f t="shared" si="0"/>
        <v>404656</v>
      </c>
      <c r="L8" s="277">
        <f t="shared" si="0"/>
        <v>404656</v>
      </c>
      <c r="M8" s="277">
        <f t="shared" si="0"/>
        <v>404656</v>
      </c>
      <c r="N8" s="277">
        <f t="shared" si="0"/>
        <v>404656</v>
      </c>
      <c r="O8" s="277">
        <f t="shared" si="0"/>
        <v>404656</v>
      </c>
      <c r="P8" s="277">
        <f t="shared" si="0"/>
        <v>404656</v>
      </c>
      <c r="Q8" s="277">
        <f t="shared" si="0"/>
        <v>404656</v>
      </c>
      <c r="R8" s="277">
        <f t="shared" si="0"/>
        <v>404656</v>
      </c>
      <c r="S8" s="277">
        <f t="shared" si="0"/>
        <v>404656</v>
      </c>
      <c r="T8" s="277">
        <f t="shared" si="0"/>
        <v>404656</v>
      </c>
      <c r="U8" s="278">
        <f t="shared" ref="U8:U13" si="2">SUM(C8:T8)</f>
        <v>7208243</v>
      </c>
    </row>
    <row r="9" spans="1:21" ht="36">
      <c r="A9" s="320" t="s">
        <v>5</v>
      </c>
      <c r="B9" s="279" t="s">
        <v>841</v>
      </c>
      <c r="C9" s="305">
        <v>236</v>
      </c>
      <c r="D9" s="280">
        <f>+C9</f>
        <v>236</v>
      </c>
      <c r="E9" s="280">
        <f>+D9</f>
        <v>236</v>
      </c>
      <c r="F9" s="277">
        <f t="shared" ref="F9:F10" si="3">+E9</f>
        <v>236</v>
      </c>
      <c r="G9" s="277">
        <f t="shared" si="0"/>
        <v>236</v>
      </c>
      <c r="H9" s="277">
        <f t="shared" si="1"/>
        <v>236</v>
      </c>
      <c r="I9" s="277">
        <f t="shared" si="1"/>
        <v>236</v>
      </c>
      <c r="J9" s="277">
        <f t="shared" si="0"/>
        <v>236</v>
      </c>
      <c r="K9" s="277">
        <f t="shared" si="0"/>
        <v>236</v>
      </c>
      <c r="L9" s="277">
        <f t="shared" si="0"/>
        <v>236</v>
      </c>
      <c r="M9" s="277">
        <f t="shared" si="0"/>
        <v>236</v>
      </c>
      <c r="N9" s="277">
        <f t="shared" si="0"/>
        <v>236</v>
      </c>
      <c r="O9" s="277">
        <f t="shared" si="0"/>
        <v>236</v>
      </c>
      <c r="P9" s="277">
        <f t="shared" si="0"/>
        <v>236</v>
      </c>
      <c r="Q9" s="277">
        <f t="shared" si="0"/>
        <v>236</v>
      </c>
      <c r="R9" s="277">
        <f t="shared" si="0"/>
        <v>236</v>
      </c>
      <c r="S9" s="277">
        <f t="shared" si="0"/>
        <v>236</v>
      </c>
      <c r="T9" s="277">
        <f t="shared" si="0"/>
        <v>236</v>
      </c>
      <c r="U9" s="281">
        <f t="shared" si="2"/>
        <v>4248</v>
      </c>
    </row>
    <row r="10" spans="1:21">
      <c r="A10" s="320" t="s">
        <v>6</v>
      </c>
      <c r="B10" s="279" t="s">
        <v>842</v>
      </c>
      <c r="C10" s="305"/>
      <c r="D10" s="280"/>
      <c r="E10" s="280"/>
      <c r="F10" s="277">
        <f t="shared" si="3"/>
        <v>0</v>
      </c>
      <c r="G10" s="277">
        <f t="shared" si="0"/>
        <v>0</v>
      </c>
      <c r="H10" s="277">
        <f t="shared" si="1"/>
        <v>0</v>
      </c>
      <c r="I10" s="277">
        <f t="shared" si="1"/>
        <v>0</v>
      </c>
      <c r="J10" s="277">
        <f t="shared" si="0"/>
        <v>0</v>
      </c>
      <c r="K10" s="277">
        <f t="shared" si="0"/>
        <v>0</v>
      </c>
      <c r="L10" s="277">
        <f t="shared" si="0"/>
        <v>0</v>
      </c>
      <c r="M10" s="277">
        <f t="shared" si="0"/>
        <v>0</v>
      </c>
      <c r="N10" s="277">
        <f t="shared" si="0"/>
        <v>0</v>
      </c>
      <c r="O10" s="277">
        <f t="shared" si="0"/>
        <v>0</v>
      </c>
      <c r="P10" s="277">
        <f t="shared" si="0"/>
        <v>0</v>
      </c>
      <c r="Q10" s="277">
        <f t="shared" si="0"/>
        <v>0</v>
      </c>
      <c r="R10" s="277">
        <f t="shared" si="0"/>
        <v>0</v>
      </c>
      <c r="S10" s="277">
        <f t="shared" si="0"/>
        <v>0</v>
      </c>
      <c r="T10" s="277">
        <f t="shared" si="0"/>
        <v>0</v>
      </c>
      <c r="U10" s="281">
        <f t="shared" si="2"/>
        <v>0</v>
      </c>
    </row>
    <row r="11" spans="1:21" ht="36">
      <c r="A11" s="320" t="s">
        <v>3</v>
      </c>
      <c r="B11" s="279" t="s">
        <v>843</v>
      </c>
      <c r="C11" s="305">
        <v>40350</v>
      </c>
      <c r="D11" s="1373">
        <v>350</v>
      </c>
      <c r="E11" s="1373">
        <v>350</v>
      </c>
      <c r="F11" s="1373">
        <v>350</v>
      </c>
      <c r="G11" s="277">
        <f t="shared" si="0"/>
        <v>350</v>
      </c>
      <c r="H11" s="277">
        <f t="shared" si="1"/>
        <v>350</v>
      </c>
      <c r="I11" s="277">
        <f t="shared" si="1"/>
        <v>350</v>
      </c>
      <c r="J11" s="277">
        <f t="shared" si="0"/>
        <v>350</v>
      </c>
      <c r="K11" s="277">
        <f t="shared" si="0"/>
        <v>350</v>
      </c>
      <c r="L11" s="277">
        <f t="shared" si="0"/>
        <v>350</v>
      </c>
      <c r="M11" s="277">
        <f t="shared" si="0"/>
        <v>350</v>
      </c>
      <c r="N11" s="277">
        <f t="shared" si="0"/>
        <v>350</v>
      </c>
      <c r="O11" s="277">
        <f t="shared" si="0"/>
        <v>350</v>
      </c>
      <c r="P11" s="277">
        <f t="shared" si="0"/>
        <v>350</v>
      </c>
      <c r="Q11" s="277">
        <f t="shared" si="0"/>
        <v>350</v>
      </c>
      <c r="R11" s="277">
        <f t="shared" si="0"/>
        <v>350</v>
      </c>
      <c r="S11" s="277">
        <f t="shared" si="0"/>
        <v>350</v>
      </c>
      <c r="T11" s="277">
        <f t="shared" si="0"/>
        <v>350</v>
      </c>
      <c r="U11" s="281">
        <f t="shared" si="2"/>
        <v>46300</v>
      </c>
    </row>
    <row r="12" spans="1:21" ht="12.75">
      <c r="A12" s="320" t="s">
        <v>16</v>
      </c>
      <c r="B12" s="754" t="s">
        <v>844</v>
      </c>
      <c r="C12" s="1374">
        <v>19453</v>
      </c>
      <c r="D12" s="1336">
        <v>6900</v>
      </c>
      <c r="E12" s="1336">
        <f>+D12</f>
        <v>6900</v>
      </c>
      <c r="F12" s="277">
        <f>+E12</f>
        <v>6900</v>
      </c>
      <c r="G12" s="277">
        <f t="shared" si="0"/>
        <v>6900</v>
      </c>
      <c r="H12" s="277">
        <f t="shared" si="1"/>
        <v>6900</v>
      </c>
      <c r="I12" s="277">
        <f t="shared" si="1"/>
        <v>6900</v>
      </c>
      <c r="J12" s="277">
        <f t="shared" si="0"/>
        <v>6900</v>
      </c>
      <c r="K12" s="277">
        <f t="shared" si="0"/>
        <v>6900</v>
      </c>
      <c r="L12" s="277">
        <f t="shared" si="0"/>
        <v>6900</v>
      </c>
      <c r="M12" s="277">
        <f t="shared" si="0"/>
        <v>6900</v>
      </c>
      <c r="N12" s="277">
        <f t="shared" si="0"/>
        <v>6900</v>
      </c>
      <c r="O12" s="277">
        <f t="shared" si="0"/>
        <v>6900</v>
      </c>
      <c r="P12" s="277">
        <f t="shared" si="0"/>
        <v>6900</v>
      </c>
      <c r="Q12" s="277">
        <f t="shared" si="0"/>
        <v>6900</v>
      </c>
      <c r="R12" s="277">
        <f t="shared" si="0"/>
        <v>6900</v>
      </c>
      <c r="S12" s="277">
        <f t="shared" si="0"/>
        <v>6900</v>
      </c>
      <c r="T12" s="277">
        <f t="shared" si="0"/>
        <v>6900</v>
      </c>
      <c r="U12" s="281">
        <f t="shared" si="2"/>
        <v>136753</v>
      </c>
    </row>
    <row r="13" spans="1:21" ht="24.75" thickBot="1">
      <c r="A13" s="321" t="s">
        <v>15</v>
      </c>
      <c r="B13" s="282" t="s">
        <v>965</v>
      </c>
      <c r="C13" s="306"/>
      <c r="D13" s="283"/>
      <c r="E13" s="283"/>
      <c r="F13" s="324"/>
      <c r="G13" s="324">
        <f t="shared" si="0"/>
        <v>0</v>
      </c>
      <c r="H13" s="324">
        <f t="shared" si="1"/>
        <v>0</v>
      </c>
      <c r="I13" s="324">
        <f t="shared" si="1"/>
        <v>0</v>
      </c>
      <c r="J13" s="324">
        <f t="shared" si="0"/>
        <v>0</v>
      </c>
      <c r="K13" s="324">
        <f t="shared" si="0"/>
        <v>0</v>
      </c>
      <c r="L13" s="324">
        <f t="shared" si="0"/>
        <v>0</v>
      </c>
      <c r="M13" s="324">
        <f t="shared" si="0"/>
        <v>0</v>
      </c>
      <c r="N13" s="324">
        <f t="shared" si="0"/>
        <v>0</v>
      </c>
      <c r="O13" s="324">
        <f t="shared" si="0"/>
        <v>0</v>
      </c>
      <c r="P13" s="324">
        <f t="shared" si="0"/>
        <v>0</v>
      </c>
      <c r="Q13" s="324">
        <f t="shared" si="0"/>
        <v>0</v>
      </c>
      <c r="R13" s="324">
        <f t="shared" si="0"/>
        <v>0</v>
      </c>
      <c r="S13" s="324">
        <f t="shared" si="0"/>
        <v>0</v>
      </c>
      <c r="T13" s="324">
        <f t="shared" si="0"/>
        <v>0</v>
      </c>
      <c r="U13" s="284">
        <f t="shared" si="2"/>
        <v>0</v>
      </c>
    </row>
    <row r="14" spans="1:21" ht="15" thickBot="1">
      <c r="A14" s="322" t="s">
        <v>14</v>
      </c>
      <c r="B14" s="285" t="s">
        <v>845</v>
      </c>
      <c r="C14" s="288">
        <f>+C8+C9+C12+C11+C10+C13</f>
        <v>427141</v>
      </c>
      <c r="D14" s="1003">
        <f>+D8+D9+D12+D11+D10+D13</f>
        <v>387437</v>
      </c>
      <c r="E14" s="286">
        <f t="shared" ref="E14:U14" si="4">+E8+E9+E12+E11+E10+E13</f>
        <v>398836</v>
      </c>
      <c r="F14" s="286">
        <f t="shared" si="4"/>
        <v>412142</v>
      </c>
      <c r="G14" s="286">
        <f t="shared" si="4"/>
        <v>412142</v>
      </c>
      <c r="H14" s="286">
        <f t="shared" si="4"/>
        <v>412142</v>
      </c>
      <c r="I14" s="286">
        <f t="shared" si="4"/>
        <v>412142</v>
      </c>
      <c r="J14" s="286">
        <f>+J8+J9+J12+J11+J10+J13</f>
        <v>412142</v>
      </c>
      <c r="K14" s="286">
        <f>+K8+K9+K12+K11+K10+K13</f>
        <v>412142</v>
      </c>
      <c r="L14" s="286">
        <f t="shared" si="4"/>
        <v>412142</v>
      </c>
      <c r="M14" s="286">
        <f>+M8+M9+M12+M11+M10+M13</f>
        <v>412142</v>
      </c>
      <c r="N14" s="286">
        <f>+N8+N9+N12+N11+N10+N13</f>
        <v>412142</v>
      </c>
      <c r="O14" s="286">
        <f t="shared" si="4"/>
        <v>412142</v>
      </c>
      <c r="P14" s="286">
        <f>+P8+P9+P12+P11+P10+P13</f>
        <v>412142</v>
      </c>
      <c r="Q14" s="286">
        <f>+Q8+Q9+Q12+Q11+Q10+Q13</f>
        <v>412142</v>
      </c>
      <c r="R14" s="286">
        <f>+R8+R9+R12+R11+R10+R13</f>
        <v>412142</v>
      </c>
      <c r="S14" s="286">
        <f>+S8+S9+S12+S11+S10+S13</f>
        <v>412142</v>
      </c>
      <c r="T14" s="286">
        <f t="shared" si="4"/>
        <v>412142</v>
      </c>
      <c r="U14" s="288">
        <f t="shared" si="4"/>
        <v>7395544</v>
      </c>
    </row>
    <row r="15" spans="1:21" ht="15" thickBot="1">
      <c r="A15" s="322" t="s">
        <v>13</v>
      </c>
      <c r="B15" s="285" t="s">
        <v>846</v>
      </c>
      <c r="C15" s="288">
        <f>+ROUNDDOWN(C14*0.5,0)</f>
        <v>213570</v>
      </c>
      <c r="D15" s="291">
        <f t="shared" ref="D15:U15" si="5">+ROUNDDOWN(D14*0.5,0)</f>
        <v>193718</v>
      </c>
      <c r="E15" s="291">
        <f t="shared" si="5"/>
        <v>199418</v>
      </c>
      <c r="F15" s="291">
        <f t="shared" si="5"/>
        <v>206071</v>
      </c>
      <c r="G15" s="291">
        <f t="shared" si="5"/>
        <v>206071</v>
      </c>
      <c r="H15" s="291">
        <f t="shared" si="5"/>
        <v>206071</v>
      </c>
      <c r="I15" s="291">
        <f t="shared" si="5"/>
        <v>206071</v>
      </c>
      <c r="J15" s="291">
        <f>+ROUNDDOWN(J14*0.5,0)</f>
        <v>206071</v>
      </c>
      <c r="K15" s="291">
        <f>+ROUNDDOWN(K14*0.5,0)</f>
        <v>206071</v>
      </c>
      <c r="L15" s="291">
        <f t="shared" si="5"/>
        <v>206071</v>
      </c>
      <c r="M15" s="291">
        <f>+ROUNDDOWN(M14*0.5,0)</f>
        <v>206071</v>
      </c>
      <c r="N15" s="291">
        <f>+ROUNDDOWN(N14*0.5,0)</f>
        <v>206071</v>
      </c>
      <c r="O15" s="291">
        <f t="shared" si="5"/>
        <v>206071</v>
      </c>
      <c r="P15" s="291">
        <f>+ROUNDDOWN(P14*0.5,0)</f>
        <v>206071</v>
      </c>
      <c r="Q15" s="291">
        <f>+ROUNDDOWN(Q14*0.5,0)</f>
        <v>206071</v>
      </c>
      <c r="R15" s="291">
        <f>+ROUNDDOWN(R14*0.5,0)</f>
        <v>206071</v>
      </c>
      <c r="S15" s="291">
        <f>+ROUNDDOWN(S14*0.5,0)</f>
        <v>206071</v>
      </c>
      <c r="T15" s="291">
        <f t="shared" si="5"/>
        <v>206071</v>
      </c>
      <c r="U15" s="288">
        <f t="shared" si="5"/>
        <v>3697772</v>
      </c>
    </row>
    <row r="16" spans="1:21" ht="27" thickBot="1">
      <c r="A16" s="322" t="s">
        <v>12</v>
      </c>
      <c r="B16" s="285" t="s">
        <v>852</v>
      </c>
      <c r="C16" s="288">
        <f t="shared" ref="C16:U16" si="6">+C17+C18+C19+C20+C21+C22+C23+C24+C25</f>
        <v>52412</v>
      </c>
      <c r="D16" s="287">
        <f t="shared" si="6"/>
        <v>28308</v>
      </c>
      <c r="E16" s="287">
        <f t="shared" si="6"/>
        <v>2000</v>
      </c>
      <c r="F16" s="287">
        <f t="shared" si="6"/>
        <v>2000</v>
      </c>
      <c r="G16" s="287">
        <f t="shared" si="6"/>
        <v>2000</v>
      </c>
      <c r="H16" s="287">
        <f t="shared" si="6"/>
        <v>2000</v>
      </c>
      <c r="I16" s="287">
        <f t="shared" si="6"/>
        <v>2000</v>
      </c>
      <c r="J16" s="287">
        <f>+J17+J18+J19+J20+J21+J22+J23+J24+J25</f>
        <v>2000</v>
      </c>
      <c r="K16" s="287">
        <f>+K17+K18+K19+K20+K21+K22+K23+K24+K25</f>
        <v>2000</v>
      </c>
      <c r="L16" s="287">
        <f t="shared" si="6"/>
        <v>2000</v>
      </c>
      <c r="M16" s="287">
        <f>+M17+M18+M19+M20+M21+M22+M23+M24+M25</f>
        <v>2000</v>
      </c>
      <c r="N16" s="287">
        <f>+N17+N18+N19+N20+N21+N22+N23+N24+N25</f>
        <v>2000</v>
      </c>
      <c r="O16" s="287">
        <f t="shared" si="6"/>
        <v>2000</v>
      </c>
      <c r="P16" s="287">
        <f>+P17+P18+P19+P20+P21+P22+P23+P24+P25</f>
        <v>2000</v>
      </c>
      <c r="Q16" s="287">
        <f>+Q17+Q18+Q19+Q20+Q21+Q22+Q23+Q24+Q25</f>
        <v>2000</v>
      </c>
      <c r="R16" s="287">
        <f>+R17+R18+R19+R20+R21+R22+R23+R24+R25</f>
        <v>2000</v>
      </c>
      <c r="S16" s="287">
        <f>+S17+S18+S19+S20+S21+S22+S23+S24+S25</f>
        <v>2000</v>
      </c>
      <c r="T16" s="287">
        <f t="shared" si="6"/>
        <v>3525</v>
      </c>
      <c r="U16" s="288">
        <f t="shared" si="6"/>
        <v>114245</v>
      </c>
    </row>
    <row r="17" spans="1:21">
      <c r="A17" s="319" t="s">
        <v>11</v>
      </c>
      <c r="B17" s="276" t="s">
        <v>465</v>
      </c>
      <c r="C17" s="304"/>
      <c r="D17" s="277"/>
      <c r="E17" s="277"/>
      <c r="F17" s="277"/>
      <c r="G17" s="277"/>
      <c r="H17" s="277"/>
      <c r="I17" s="277"/>
      <c r="J17" s="277"/>
      <c r="K17" s="277"/>
      <c r="L17" s="277"/>
      <c r="M17" s="277"/>
      <c r="N17" s="277"/>
      <c r="O17" s="277"/>
      <c r="P17" s="277"/>
      <c r="Q17" s="277"/>
      <c r="R17" s="277"/>
      <c r="S17" s="277"/>
      <c r="T17" s="277"/>
      <c r="U17" s="281">
        <f t="shared" ref="U17:U25" si="7">SUM(C17:T17)</f>
        <v>0</v>
      </c>
    </row>
    <row r="18" spans="1:21">
      <c r="A18" s="320" t="s">
        <v>10</v>
      </c>
      <c r="B18" s="279" t="s">
        <v>466</v>
      </c>
      <c r="C18" s="305"/>
      <c r="D18" s="280"/>
      <c r="E18" s="280"/>
      <c r="F18" s="280"/>
      <c r="G18" s="280"/>
      <c r="H18" s="280"/>
      <c r="I18" s="280"/>
      <c r="J18" s="280"/>
      <c r="K18" s="280"/>
      <c r="L18" s="280"/>
      <c r="M18" s="280"/>
      <c r="N18" s="280"/>
      <c r="O18" s="280"/>
      <c r="P18" s="280"/>
      <c r="Q18" s="280"/>
      <c r="R18" s="280"/>
      <c r="S18" s="280"/>
      <c r="T18" s="280"/>
      <c r="U18" s="281">
        <f t="shared" si="7"/>
        <v>0</v>
      </c>
    </row>
    <row r="19" spans="1:21">
      <c r="A19" s="320" t="s">
        <v>9</v>
      </c>
      <c r="B19" s="279" t="s">
        <v>467</v>
      </c>
      <c r="C19" s="305"/>
      <c r="D19" s="280"/>
      <c r="E19" s="280"/>
      <c r="F19" s="280"/>
      <c r="G19" s="280"/>
      <c r="H19" s="280"/>
      <c r="I19" s="280"/>
      <c r="J19" s="280"/>
      <c r="K19" s="280"/>
      <c r="L19" s="280"/>
      <c r="M19" s="280"/>
      <c r="N19" s="280"/>
      <c r="O19" s="280"/>
      <c r="P19" s="280"/>
      <c r="Q19" s="280"/>
      <c r="R19" s="280"/>
      <c r="S19" s="280"/>
      <c r="T19" s="280"/>
      <c r="U19" s="281">
        <f t="shared" si="7"/>
        <v>0</v>
      </c>
    </row>
    <row r="20" spans="1:21">
      <c r="A20" s="320" t="s">
        <v>45</v>
      </c>
      <c r="B20" s="279" t="s">
        <v>468</v>
      </c>
      <c r="C20" s="305"/>
      <c r="D20" s="280"/>
      <c r="E20" s="280"/>
      <c r="F20" s="280"/>
      <c r="G20" s="280"/>
      <c r="H20" s="280"/>
      <c r="I20" s="280"/>
      <c r="J20" s="280"/>
      <c r="K20" s="280"/>
      <c r="L20" s="280"/>
      <c r="M20" s="280"/>
      <c r="N20" s="280"/>
      <c r="O20" s="280"/>
      <c r="P20" s="280"/>
      <c r="Q20" s="280"/>
      <c r="R20" s="280"/>
      <c r="S20" s="280"/>
      <c r="T20" s="280"/>
      <c r="U20" s="281">
        <f t="shared" si="7"/>
        <v>0</v>
      </c>
    </row>
    <row r="21" spans="1:21">
      <c r="A21" s="320" t="s">
        <v>44</v>
      </c>
      <c r="B21" s="279" t="s">
        <v>469</v>
      </c>
      <c r="C21" s="305"/>
      <c r="D21" s="280"/>
      <c r="E21" s="280"/>
      <c r="F21" s="280"/>
      <c r="G21" s="280"/>
      <c r="H21" s="280"/>
      <c r="I21" s="280"/>
      <c r="J21" s="280"/>
      <c r="K21" s="280"/>
      <c r="L21" s="280"/>
      <c r="M21" s="280"/>
      <c r="N21" s="280"/>
      <c r="O21" s="280"/>
      <c r="P21" s="280"/>
      <c r="Q21" s="280"/>
      <c r="R21" s="280"/>
      <c r="S21" s="280"/>
      <c r="T21" s="280"/>
      <c r="U21" s="281">
        <f t="shared" si="7"/>
        <v>0</v>
      </c>
    </row>
    <row r="22" spans="1:21" ht="36">
      <c r="A22" s="320" t="s">
        <v>43</v>
      </c>
      <c r="B22" s="279" t="s">
        <v>850</v>
      </c>
      <c r="C22" s="305"/>
      <c r="D22" s="280"/>
      <c r="E22" s="280"/>
      <c r="F22" s="280"/>
      <c r="G22" s="280"/>
      <c r="H22" s="280"/>
      <c r="I22" s="280"/>
      <c r="J22" s="280"/>
      <c r="K22" s="280"/>
      <c r="L22" s="280"/>
      <c r="M22" s="280"/>
      <c r="N22" s="280"/>
      <c r="O22" s="280"/>
      <c r="P22" s="280"/>
      <c r="Q22" s="280"/>
      <c r="R22" s="280"/>
      <c r="S22" s="280"/>
      <c r="T22" s="280"/>
      <c r="U22" s="281">
        <f t="shared" si="7"/>
        <v>0</v>
      </c>
    </row>
    <row r="23" spans="1:21">
      <c r="A23" s="320" t="s">
        <v>40</v>
      </c>
      <c r="B23" s="279" t="s">
        <v>849</v>
      </c>
      <c r="C23" s="305">
        <f>2000+2000+13205+19807+8900+6500</f>
        <v>52412</v>
      </c>
      <c r="D23" s="280">
        <f>2000+19808+6500</f>
        <v>28308</v>
      </c>
      <c r="E23" s="280">
        <v>2000</v>
      </c>
      <c r="F23" s="280">
        <v>2000</v>
      </c>
      <c r="G23" s="280">
        <v>2000</v>
      </c>
      <c r="H23" s="280">
        <v>2000</v>
      </c>
      <c r="I23" s="280">
        <v>2000</v>
      </c>
      <c r="J23" s="280">
        <v>2000</v>
      </c>
      <c r="K23" s="280">
        <v>2000</v>
      </c>
      <c r="L23" s="280">
        <v>2000</v>
      </c>
      <c r="M23" s="280">
        <v>2000</v>
      </c>
      <c r="N23" s="280">
        <v>2000</v>
      </c>
      <c r="O23" s="280">
        <v>2000</v>
      </c>
      <c r="P23" s="280">
        <v>2000</v>
      </c>
      <c r="Q23" s="280">
        <v>2000</v>
      </c>
      <c r="R23" s="280">
        <v>2000</v>
      </c>
      <c r="S23" s="280">
        <v>2000</v>
      </c>
      <c r="T23" s="280">
        <v>3525</v>
      </c>
      <c r="U23" s="281">
        <f t="shared" si="7"/>
        <v>114245</v>
      </c>
    </row>
    <row r="24" spans="1:21" ht="36">
      <c r="A24" s="320" t="s">
        <v>39</v>
      </c>
      <c r="B24" s="289" t="s">
        <v>851</v>
      </c>
      <c r="C24" s="305"/>
      <c r="D24" s="283"/>
      <c r="E24" s="283"/>
      <c r="F24" s="283"/>
      <c r="G24" s="283"/>
      <c r="H24" s="283"/>
      <c r="I24" s="283"/>
      <c r="J24" s="283"/>
      <c r="K24" s="283"/>
      <c r="L24" s="283"/>
      <c r="M24" s="283"/>
      <c r="N24" s="283"/>
      <c r="O24" s="283"/>
      <c r="P24" s="283"/>
      <c r="Q24" s="283"/>
      <c r="R24" s="283"/>
      <c r="S24" s="283"/>
      <c r="T24" s="283"/>
      <c r="U24" s="281">
        <f t="shared" si="7"/>
        <v>0</v>
      </c>
    </row>
    <row r="25" spans="1:21" ht="24.75" thickBot="1">
      <c r="A25" s="320" t="s">
        <v>38</v>
      </c>
      <c r="B25" s="289" t="s">
        <v>966</v>
      </c>
      <c r="C25" s="305"/>
      <c r="D25" s="283"/>
      <c r="E25" s="283"/>
      <c r="F25" s="283"/>
      <c r="G25" s="283"/>
      <c r="H25" s="283"/>
      <c r="I25" s="283"/>
      <c r="J25" s="283"/>
      <c r="K25" s="283"/>
      <c r="L25" s="283"/>
      <c r="M25" s="283"/>
      <c r="N25" s="283"/>
      <c r="O25" s="283"/>
      <c r="P25" s="283"/>
      <c r="Q25" s="283"/>
      <c r="R25" s="283"/>
      <c r="S25" s="283"/>
      <c r="T25" s="283"/>
      <c r="U25" s="281">
        <f t="shared" si="7"/>
        <v>0</v>
      </c>
    </row>
    <row r="26" spans="1:21" ht="27" thickBot="1">
      <c r="A26" s="322" t="s">
        <v>36</v>
      </c>
      <c r="B26" s="285" t="s">
        <v>853</v>
      </c>
      <c r="C26" s="288">
        <f>+C27+C28+C29+C30+C31+C32+C33+C34+C35</f>
        <v>0</v>
      </c>
      <c r="D26" s="287">
        <f t="shared" ref="D26:U26" si="8">+D27+D28+D29+D30+D31+D32+D33+D34+D35</f>
        <v>10000</v>
      </c>
      <c r="E26" s="287">
        <f t="shared" si="8"/>
        <v>0</v>
      </c>
      <c r="F26" s="287">
        <f t="shared" si="8"/>
        <v>0</v>
      </c>
      <c r="G26" s="287">
        <f t="shared" si="8"/>
        <v>0</v>
      </c>
      <c r="H26" s="287">
        <f t="shared" si="8"/>
        <v>0</v>
      </c>
      <c r="I26" s="287">
        <f t="shared" si="8"/>
        <v>0</v>
      </c>
      <c r="J26" s="287">
        <f>+J27+J28+J29+J30+J31+J32+J33+J34+J35</f>
        <v>0</v>
      </c>
      <c r="K26" s="287">
        <f>+K27+K28+K29+K30+K31+K32+K33+K34+K35</f>
        <v>0</v>
      </c>
      <c r="L26" s="287">
        <f t="shared" si="8"/>
        <v>0</v>
      </c>
      <c r="M26" s="287">
        <f>+M27+M28+M29+M30+M31+M32+M33+M34+M35</f>
        <v>0</v>
      </c>
      <c r="N26" s="287">
        <f>+N27+N28+N29+N30+N31+N32+N33+N34+N35</f>
        <v>0</v>
      </c>
      <c r="O26" s="287">
        <f t="shared" si="8"/>
        <v>0</v>
      </c>
      <c r="P26" s="287">
        <f>+P27+P28+P29+P30+P31+P32+P33+P34+P35</f>
        <v>0</v>
      </c>
      <c r="Q26" s="287">
        <f>+Q27+Q28+Q29+Q30+Q31+Q32+Q33+Q34+Q35</f>
        <v>0</v>
      </c>
      <c r="R26" s="287">
        <f>+R27+R28+R29+R30+R31+R32+R33+R34+R35</f>
        <v>0</v>
      </c>
      <c r="S26" s="287">
        <f>+S27+S28+S29+S30+S31+S32+S33+S34+S35</f>
        <v>0</v>
      </c>
      <c r="T26" s="287">
        <f t="shared" si="8"/>
        <v>0</v>
      </c>
      <c r="U26" s="288">
        <f t="shared" si="8"/>
        <v>10000</v>
      </c>
    </row>
    <row r="27" spans="1:21">
      <c r="A27" s="319" t="s">
        <v>35</v>
      </c>
      <c r="B27" s="276" t="s">
        <v>465</v>
      </c>
      <c r="C27" s="304"/>
      <c r="D27" s="1375">
        <v>10000</v>
      </c>
      <c r="E27" s="277"/>
      <c r="F27" s="277"/>
      <c r="G27" s="277"/>
      <c r="H27" s="277"/>
      <c r="I27" s="277"/>
      <c r="J27" s="277"/>
      <c r="K27" s="277"/>
      <c r="L27" s="277"/>
      <c r="M27" s="277"/>
      <c r="N27" s="277"/>
      <c r="O27" s="277"/>
      <c r="P27" s="277"/>
      <c r="Q27" s="277"/>
      <c r="R27" s="277"/>
      <c r="S27" s="277"/>
      <c r="T27" s="277"/>
      <c r="U27" s="281">
        <f t="shared" ref="U27:U35" si="9">SUM(C27:T27)</f>
        <v>10000</v>
      </c>
    </row>
    <row r="28" spans="1:21">
      <c r="A28" s="320" t="s">
        <v>34</v>
      </c>
      <c r="B28" s="279" t="s">
        <v>466</v>
      </c>
      <c r="C28" s="305"/>
      <c r="D28" s="280"/>
      <c r="E28" s="280"/>
      <c r="F28" s="280"/>
      <c r="G28" s="280"/>
      <c r="H28" s="280"/>
      <c r="I28" s="280"/>
      <c r="J28" s="280"/>
      <c r="K28" s="280"/>
      <c r="L28" s="280"/>
      <c r="M28" s="280"/>
      <c r="N28" s="280"/>
      <c r="O28" s="280"/>
      <c r="P28" s="280"/>
      <c r="Q28" s="280"/>
      <c r="R28" s="280"/>
      <c r="S28" s="280"/>
      <c r="T28" s="280"/>
      <c r="U28" s="281">
        <f t="shared" si="9"/>
        <v>0</v>
      </c>
    </row>
    <row r="29" spans="1:21">
      <c r="A29" s="320" t="s">
        <v>33</v>
      </c>
      <c r="B29" s="279" t="s">
        <v>467</v>
      </c>
      <c r="C29" s="305"/>
      <c r="D29" s="280"/>
      <c r="E29" s="280"/>
      <c r="F29" s="280"/>
      <c r="G29" s="280"/>
      <c r="H29" s="280"/>
      <c r="I29" s="280"/>
      <c r="J29" s="280"/>
      <c r="K29" s="280"/>
      <c r="L29" s="280"/>
      <c r="M29" s="280"/>
      <c r="N29" s="280"/>
      <c r="O29" s="280"/>
      <c r="P29" s="280"/>
      <c r="Q29" s="280"/>
      <c r="R29" s="280"/>
      <c r="S29" s="280"/>
      <c r="T29" s="280"/>
      <c r="U29" s="281">
        <f t="shared" si="9"/>
        <v>0</v>
      </c>
    </row>
    <row r="30" spans="1:21">
      <c r="A30" s="320" t="s">
        <v>32</v>
      </c>
      <c r="B30" s="279" t="s">
        <v>468</v>
      </c>
      <c r="C30" s="305"/>
      <c r="D30" s="280"/>
      <c r="E30" s="280"/>
      <c r="F30" s="280"/>
      <c r="G30" s="280"/>
      <c r="H30" s="280"/>
      <c r="I30" s="280"/>
      <c r="J30" s="280"/>
      <c r="K30" s="280"/>
      <c r="L30" s="280"/>
      <c r="M30" s="280"/>
      <c r="N30" s="280"/>
      <c r="O30" s="280"/>
      <c r="P30" s="280"/>
      <c r="Q30" s="280"/>
      <c r="R30" s="280"/>
      <c r="S30" s="280"/>
      <c r="T30" s="280"/>
      <c r="U30" s="281">
        <f t="shared" si="9"/>
        <v>0</v>
      </c>
    </row>
    <row r="31" spans="1:21">
      <c r="A31" s="320" t="s">
        <v>470</v>
      </c>
      <c r="B31" s="279" t="s">
        <v>469</v>
      </c>
      <c r="C31" s="305"/>
      <c r="D31" s="280"/>
      <c r="E31" s="280"/>
      <c r="F31" s="280"/>
      <c r="G31" s="280"/>
      <c r="H31" s="280"/>
      <c r="I31" s="280"/>
      <c r="J31" s="280"/>
      <c r="K31" s="280"/>
      <c r="L31" s="280"/>
      <c r="M31" s="280"/>
      <c r="N31" s="280"/>
      <c r="O31" s="280"/>
      <c r="P31" s="280"/>
      <c r="Q31" s="280"/>
      <c r="R31" s="280"/>
      <c r="S31" s="280"/>
      <c r="T31" s="280"/>
      <c r="U31" s="281">
        <f t="shared" si="9"/>
        <v>0</v>
      </c>
    </row>
    <row r="32" spans="1:21" ht="36">
      <c r="A32" s="320" t="s">
        <v>471</v>
      </c>
      <c r="B32" s="279" t="s">
        <v>850</v>
      </c>
      <c r="C32" s="305"/>
      <c r="D32" s="280"/>
      <c r="E32" s="280"/>
      <c r="F32" s="280"/>
      <c r="G32" s="280"/>
      <c r="H32" s="280"/>
      <c r="I32" s="280"/>
      <c r="J32" s="280"/>
      <c r="K32" s="280"/>
      <c r="L32" s="280"/>
      <c r="M32" s="280"/>
      <c r="N32" s="280"/>
      <c r="O32" s="280"/>
      <c r="P32" s="280"/>
      <c r="Q32" s="280"/>
      <c r="R32" s="280"/>
      <c r="S32" s="280"/>
      <c r="T32" s="280"/>
      <c r="U32" s="281">
        <f t="shared" si="9"/>
        <v>0</v>
      </c>
    </row>
    <row r="33" spans="1:21">
      <c r="A33" s="320" t="s">
        <v>472</v>
      </c>
      <c r="B33" s="279" t="s">
        <v>849</v>
      </c>
      <c r="C33" s="305"/>
      <c r="D33" s="280"/>
      <c r="E33" s="280"/>
      <c r="F33" s="280"/>
      <c r="G33" s="280"/>
      <c r="H33" s="280"/>
      <c r="I33" s="280"/>
      <c r="J33" s="280"/>
      <c r="K33" s="280"/>
      <c r="L33" s="280"/>
      <c r="M33" s="280"/>
      <c r="N33" s="280"/>
      <c r="O33" s="280"/>
      <c r="P33" s="280"/>
      <c r="Q33" s="280"/>
      <c r="R33" s="280"/>
      <c r="S33" s="280"/>
      <c r="T33" s="280"/>
      <c r="U33" s="281">
        <f t="shared" si="9"/>
        <v>0</v>
      </c>
    </row>
    <row r="34" spans="1:21" ht="36">
      <c r="A34" s="320" t="s">
        <v>473</v>
      </c>
      <c r="B34" s="289" t="s">
        <v>851</v>
      </c>
      <c r="C34" s="305"/>
      <c r="D34" s="283"/>
      <c r="E34" s="283"/>
      <c r="F34" s="283"/>
      <c r="G34" s="283"/>
      <c r="H34" s="283"/>
      <c r="I34" s="283"/>
      <c r="J34" s="283"/>
      <c r="K34" s="283"/>
      <c r="L34" s="283"/>
      <c r="M34" s="283"/>
      <c r="N34" s="283"/>
      <c r="O34" s="283"/>
      <c r="P34" s="283"/>
      <c r="Q34" s="283"/>
      <c r="R34" s="283"/>
      <c r="S34" s="283"/>
      <c r="T34" s="283"/>
      <c r="U34" s="281">
        <f t="shared" si="9"/>
        <v>0</v>
      </c>
    </row>
    <row r="35" spans="1:21" ht="24.75" thickBot="1">
      <c r="A35" s="320" t="s">
        <v>486</v>
      </c>
      <c r="B35" s="289" t="s">
        <v>966</v>
      </c>
      <c r="C35" s="306"/>
      <c r="D35" s="283"/>
      <c r="E35" s="283"/>
      <c r="F35" s="283"/>
      <c r="G35" s="283"/>
      <c r="H35" s="283"/>
      <c r="I35" s="283"/>
      <c r="J35" s="283"/>
      <c r="K35" s="283"/>
      <c r="L35" s="283"/>
      <c r="M35" s="283"/>
      <c r="N35" s="283"/>
      <c r="O35" s="283"/>
      <c r="P35" s="283"/>
      <c r="Q35" s="283"/>
      <c r="R35" s="283"/>
      <c r="S35" s="283"/>
      <c r="T35" s="283"/>
      <c r="U35" s="284">
        <f t="shared" si="9"/>
        <v>0</v>
      </c>
    </row>
    <row r="36" spans="1:21" ht="12.75" thickBot="1">
      <c r="A36" s="322" t="s">
        <v>487</v>
      </c>
      <c r="B36" s="285" t="s">
        <v>854</v>
      </c>
      <c r="C36" s="288">
        <f t="shared" ref="C36:U36" si="10">+C16+C26</f>
        <v>52412</v>
      </c>
      <c r="D36" s="287">
        <f t="shared" si="10"/>
        <v>38308</v>
      </c>
      <c r="E36" s="287">
        <f t="shared" si="10"/>
        <v>2000</v>
      </c>
      <c r="F36" s="287">
        <f t="shared" si="10"/>
        <v>2000</v>
      </c>
      <c r="G36" s="287">
        <f t="shared" si="10"/>
        <v>2000</v>
      </c>
      <c r="H36" s="287">
        <f t="shared" si="10"/>
        <v>2000</v>
      </c>
      <c r="I36" s="287">
        <f t="shared" si="10"/>
        <v>2000</v>
      </c>
      <c r="J36" s="287">
        <f>+J16+J26</f>
        <v>2000</v>
      </c>
      <c r="K36" s="287">
        <f>+K16+K26</f>
        <v>2000</v>
      </c>
      <c r="L36" s="287">
        <f t="shared" si="10"/>
        <v>2000</v>
      </c>
      <c r="M36" s="287">
        <f>+M16+M26</f>
        <v>2000</v>
      </c>
      <c r="N36" s="287">
        <f>+N16+N26</f>
        <v>2000</v>
      </c>
      <c r="O36" s="287">
        <f t="shared" si="10"/>
        <v>2000</v>
      </c>
      <c r="P36" s="287">
        <f>+P16+P26</f>
        <v>2000</v>
      </c>
      <c r="Q36" s="287">
        <f>+Q16+Q26</f>
        <v>2000</v>
      </c>
      <c r="R36" s="287">
        <f>+R16+R26</f>
        <v>2000</v>
      </c>
      <c r="S36" s="287">
        <f>+S16+S26</f>
        <v>2000</v>
      </c>
      <c r="T36" s="287">
        <f t="shared" si="10"/>
        <v>3525</v>
      </c>
      <c r="U36" s="288">
        <f t="shared" si="10"/>
        <v>124245</v>
      </c>
    </row>
    <row r="37" spans="1:21" ht="24.75" thickBot="1">
      <c r="A37" s="323" t="s">
        <v>488</v>
      </c>
      <c r="B37" s="290" t="s">
        <v>855</v>
      </c>
      <c r="C37" s="292">
        <f t="shared" ref="C37:U37" si="11">+C15-C36</f>
        <v>161158</v>
      </c>
      <c r="D37" s="291">
        <f t="shared" si="11"/>
        <v>155410</v>
      </c>
      <c r="E37" s="291">
        <f t="shared" si="11"/>
        <v>197418</v>
      </c>
      <c r="F37" s="291">
        <f t="shared" si="11"/>
        <v>204071</v>
      </c>
      <c r="G37" s="291">
        <f t="shared" si="11"/>
        <v>204071</v>
      </c>
      <c r="H37" s="291">
        <f t="shared" si="11"/>
        <v>204071</v>
      </c>
      <c r="I37" s="291">
        <f t="shared" si="11"/>
        <v>204071</v>
      </c>
      <c r="J37" s="291">
        <f>+J15-J36</f>
        <v>204071</v>
      </c>
      <c r="K37" s="291">
        <f>+K15-K36</f>
        <v>204071</v>
      </c>
      <c r="L37" s="291">
        <f t="shared" si="11"/>
        <v>204071</v>
      </c>
      <c r="M37" s="291">
        <f>+M15-M36</f>
        <v>204071</v>
      </c>
      <c r="N37" s="291">
        <f>+N15-N36</f>
        <v>204071</v>
      </c>
      <c r="O37" s="291">
        <f t="shared" si="11"/>
        <v>204071</v>
      </c>
      <c r="P37" s="291">
        <f>+P15-P36</f>
        <v>204071</v>
      </c>
      <c r="Q37" s="291">
        <f>+Q15-Q36</f>
        <v>204071</v>
      </c>
      <c r="R37" s="291">
        <f>+R15-R36</f>
        <v>204071</v>
      </c>
      <c r="S37" s="291">
        <f>+S15-S36</f>
        <v>204071</v>
      </c>
      <c r="T37" s="291">
        <f t="shared" si="11"/>
        <v>202546</v>
      </c>
      <c r="U37" s="292">
        <f t="shared" si="11"/>
        <v>3573527</v>
      </c>
    </row>
    <row r="38" spans="1:21" ht="13.5">
      <c r="A38" s="1241" t="s">
        <v>477</v>
      </c>
      <c r="B38" s="1241"/>
      <c r="C38" s="1241"/>
      <c r="D38" s="1241"/>
      <c r="E38" s="1241"/>
      <c r="F38" s="1241"/>
      <c r="G38" s="1241"/>
      <c r="H38" s="1241"/>
      <c r="I38" s="1241"/>
      <c r="J38" s="1241"/>
      <c r="K38" s="1241"/>
      <c r="L38" s="1241"/>
      <c r="M38" s="1241"/>
      <c r="N38" s="1241"/>
      <c r="O38" s="1241"/>
      <c r="P38" s="1241"/>
      <c r="Q38" s="1241"/>
      <c r="R38" s="1241"/>
      <c r="S38" s="1241"/>
      <c r="T38" s="1241"/>
      <c r="U38" s="1241"/>
    </row>
    <row r="39" spans="1:21" ht="13.5">
      <c r="A39" s="1242" t="s">
        <v>967</v>
      </c>
      <c r="B39" s="1242"/>
      <c r="C39" s="1242"/>
      <c r="D39" s="1242"/>
      <c r="E39" s="1242"/>
      <c r="F39" s="1242"/>
      <c r="G39" s="1242"/>
      <c r="H39" s="1242"/>
      <c r="I39" s="1242"/>
      <c r="J39" s="1242"/>
      <c r="K39" s="1242"/>
      <c r="L39" s="1242"/>
      <c r="M39" s="1242"/>
      <c r="N39" s="1242"/>
      <c r="O39" s="1242"/>
      <c r="P39" s="1242"/>
      <c r="Q39" s="1242"/>
      <c r="R39" s="1242"/>
      <c r="S39" s="1242"/>
      <c r="T39" s="1242"/>
      <c r="U39" s="1242"/>
    </row>
    <row r="40" spans="1:21" ht="39" customHeight="1">
      <c r="A40" s="1243" t="s">
        <v>1102</v>
      </c>
      <c r="B40" s="1243"/>
      <c r="C40" s="1243"/>
      <c r="D40" s="1243"/>
      <c r="E40" s="1243"/>
      <c r="F40" s="1243"/>
      <c r="G40" s="1243"/>
      <c r="H40" s="1243"/>
      <c r="I40" s="1243"/>
      <c r="J40" s="1243"/>
      <c r="K40" s="1243"/>
      <c r="L40" s="1243"/>
      <c r="M40" s="1243"/>
      <c r="N40" s="1243"/>
      <c r="O40" s="1243"/>
      <c r="P40" s="1243"/>
      <c r="Q40" s="1243"/>
      <c r="R40" s="1243"/>
      <c r="S40" s="1243"/>
      <c r="T40" s="1243"/>
      <c r="U40" s="1243"/>
    </row>
    <row r="42" spans="1:21" ht="15.75">
      <c r="A42" s="1244" t="s">
        <v>1453</v>
      </c>
      <c r="B42" s="1244"/>
      <c r="C42" s="1244"/>
      <c r="D42" s="1244"/>
      <c r="E42" s="1244"/>
      <c r="F42" s="1244"/>
      <c r="G42" s="1244"/>
      <c r="H42" s="171"/>
      <c r="I42" s="171"/>
      <c r="J42" s="171"/>
      <c r="K42" s="171"/>
      <c r="L42" s="171"/>
      <c r="M42" s="171"/>
      <c r="N42" s="171"/>
      <c r="O42" s="171"/>
      <c r="P42" s="171"/>
      <c r="Q42" s="171"/>
      <c r="R42" s="171"/>
      <c r="S42" s="171"/>
      <c r="T42" s="171"/>
      <c r="U42" s="171"/>
    </row>
    <row r="43" spans="1:21">
      <c r="A43" s="293"/>
      <c r="B43" s="293"/>
      <c r="C43" s="293"/>
      <c r="D43" s="171"/>
      <c r="E43" s="171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1"/>
      <c r="Q43" s="171"/>
      <c r="R43" s="171"/>
      <c r="S43" s="171"/>
      <c r="T43" s="171"/>
      <c r="U43" s="171"/>
    </row>
    <row r="44" spans="1:21" ht="12.75" thickBot="1">
      <c r="A44" s="294"/>
      <c r="B44" s="294"/>
      <c r="C44" s="295" t="s">
        <v>49</v>
      </c>
      <c r="D44" s="171"/>
      <c r="E44" s="171"/>
      <c r="F44" s="171"/>
      <c r="G44" s="171"/>
      <c r="H44" s="171"/>
      <c r="I44" s="171"/>
      <c r="J44" s="171"/>
      <c r="K44" s="171"/>
      <c r="L44" s="171"/>
      <c r="M44" s="171"/>
      <c r="N44" s="171"/>
      <c r="O44" s="171"/>
      <c r="P44" s="171"/>
      <c r="Q44" s="171"/>
      <c r="R44" s="171"/>
      <c r="S44" s="171"/>
      <c r="T44" s="171"/>
      <c r="U44" s="171"/>
    </row>
    <row r="45" spans="1:21" ht="36.75" thickBot="1">
      <c r="A45" s="297" t="s">
        <v>17</v>
      </c>
      <c r="B45" s="307" t="s">
        <v>474</v>
      </c>
      <c r="C45" s="313" t="s">
        <v>475</v>
      </c>
      <c r="D45" s="171"/>
      <c r="E45" s="171"/>
      <c r="F45" s="171"/>
      <c r="G45" s="171"/>
      <c r="H45" s="171"/>
      <c r="I45" s="171"/>
      <c r="J45" s="171"/>
      <c r="K45" s="171"/>
      <c r="L45" s="171"/>
      <c r="M45" s="171"/>
      <c r="N45" s="171"/>
      <c r="O45" s="171"/>
      <c r="P45" s="171"/>
      <c r="Q45" s="171"/>
      <c r="R45" s="171"/>
      <c r="S45" s="171"/>
      <c r="T45" s="171"/>
      <c r="U45" s="171"/>
    </row>
    <row r="46" spans="1:21" ht="12.75" thickBot="1">
      <c r="A46" s="298">
        <v>1</v>
      </c>
      <c r="B46" s="308">
        <v>2</v>
      </c>
      <c r="C46" s="314">
        <v>3</v>
      </c>
      <c r="D46" s="171"/>
      <c r="E46" s="171"/>
      <c r="F46" s="171"/>
      <c r="G46" s="171"/>
      <c r="H46" s="171"/>
      <c r="I46" s="171"/>
      <c r="J46" s="171"/>
      <c r="K46" s="171"/>
      <c r="L46" s="171"/>
      <c r="M46" s="171"/>
      <c r="N46" s="171"/>
      <c r="O46" s="171"/>
      <c r="P46" s="171"/>
      <c r="Q46" s="171"/>
      <c r="R46" s="171"/>
      <c r="S46" s="171"/>
      <c r="T46" s="171"/>
      <c r="U46" s="171"/>
    </row>
    <row r="47" spans="1:21">
      <c r="A47" s="299" t="s">
        <v>4</v>
      </c>
      <c r="B47" s="309" t="s">
        <v>1530</v>
      </c>
      <c r="C47" s="315">
        <v>41258</v>
      </c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1"/>
      <c r="Q47" s="171"/>
      <c r="R47" s="171"/>
      <c r="S47" s="171"/>
      <c r="T47" s="171"/>
      <c r="U47" s="171"/>
    </row>
    <row r="48" spans="1:21">
      <c r="A48" s="300" t="s">
        <v>5</v>
      </c>
      <c r="B48" s="310"/>
      <c r="C48" s="316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1"/>
      <c r="Q48" s="171"/>
      <c r="R48" s="171"/>
      <c r="S48" s="171"/>
      <c r="T48" s="171"/>
      <c r="U48" s="171"/>
    </row>
    <row r="49" spans="1:21" ht="12.75" thickBot="1">
      <c r="A49" s="301" t="s">
        <v>6</v>
      </c>
      <c r="B49" s="311"/>
      <c r="C49" s="317"/>
      <c r="D49" s="171"/>
      <c r="E49" s="171"/>
      <c r="F49" s="171"/>
      <c r="G49" s="171"/>
      <c r="H49" s="171"/>
      <c r="I49" s="171"/>
      <c r="J49" s="171"/>
      <c r="K49" s="171"/>
      <c r="L49" s="171"/>
      <c r="M49" s="171"/>
      <c r="N49" s="171"/>
      <c r="O49" s="171"/>
      <c r="P49" s="171"/>
      <c r="Q49" s="171"/>
      <c r="R49" s="171"/>
      <c r="S49" s="171"/>
      <c r="T49" s="171"/>
      <c r="U49" s="171"/>
    </row>
    <row r="50" spans="1:21" ht="24.75" thickBot="1">
      <c r="A50" s="302" t="s">
        <v>3</v>
      </c>
      <c r="B50" s="312" t="s">
        <v>1224</v>
      </c>
      <c r="C50" s="318">
        <f>SUM(C47:C49)</f>
        <v>41258</v>
      </c>
      <c r="D50" s="171"/>
      <c r="E50" s="171"/>
      <c r="F50" s="171"/>
      <c r="G50" s="171"/>
      <c r="H50" s="171"/>
      <c r="I50" s="171"/>
      <c r="J50" s="171"/>
      <c r="K50" s="171"/>
      <c r="L50" s="171"/>
      <c r="M50" s="171"/>
      <c r="N50" s="171"/>
      <c r="O50" s="171"/>
      <c r="P50" s="171"/>
      <c r="Q50" s="171"/>
      <c r="R50" s="171"/>
      <c r="S50" s="171"/>
      <c r="T50" s="171"/>
      <c r="U50" s="171"/>
    </row>
    <row r="51" spans="1:21">
      <c r="A51" s="171"/>
      <c r="B51" s="171"/>
      <c r="C51" s="171"/>
      <c r="D51" s="171"/>
      <c r="E51" s="171"/>
      <c r="F51" s="171"/>
      <c r="G51" s="171"/>
      <c r="H51" s="171"/>
      <c r="I51" s="171"/>
      <c r="J51" s="171"/>
      <c r="K51" s="171"/>
      <c r="L51" s="171"/>
      <c r="M51" s="171"/>
      <c r="N51" s="171"/>
      <c r="O51" s="171"/>
      <c r="P51" s="171"/>
      <c r="Q51" s="171"/>
      <c r="R51" s="171"/>
      <c r="S51" s="171"/>
      <c r="T51" s="171"/>
      <c r="U51" s="171"/>
    </row>
    <row r="52" spans="1:21">
      <c r="A52" s="171"/>
      <c r="B52" s="171"/>
      <c r="C52" s="171"/>
      <c r="D52" s="171"/>
      <c r="E52" s="171"/>
      <c r="F52" s="171"/>
      <c r="G52" s="171"/>
      <c r="H52" s="171"/>
      <c r="I52" s="171"/>
      <c r="J52" s="171"/>
      <c r="K52" s="171"/>
      <c r="L52" s="171"/>
      <c r="M52" s="171"/>
      <c r="N52" s="171"/>
      <c r="O52" s="171"/>
      <c r="P52" s="171"/>
      <c r="Q52" s="171"/>
      <c r="R52" s="171"/>
      <c r="S52" s="171"/>
      <c r="T52" s="171"/>
      <c r="U52" s="171"/>
    </row>
  </sheetData>
  <mergeCells count="9">
    <mergeCell ref="A38:U38"/>
    <mergeCell ref="A39:U39"/>
    <mergeCell ref="A40:U40"/>
    <mergeCell ref="A42:G42"/>
    <mergeCell ref="A3:U3"/>
    <mergeCell ref="A5:A6"/>
    <mergeCell ref="B5:B6"/>
    <mergeCell ref="C5:T5"/>
    <mergeCell ref="U5:U6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59" orientation="landscape" horizontalDpi="200" verticalDpi="20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 codeName="Munka19">
    <tabColor rgb="FF00B0F0"/>
    <pageSetUpPr fitToPage="1"/>
  </sheetPr>
  <dimension ref="A1:I46"/>
  <sheetViews>
    <sheetView zoomScaleNormal="100" workbookViewId="0"/>
  </sheetViews>
  <sheetFormatPr defaultColWidth="9.140625" defaultRowHeight="12"/>
  <cols>
    <col min="1" max="1" width="4.85546875" style="209" bestFit="1" customWidth="1"/>
    <col min="2" max="2" width="82.5703125" style="209" customWidth="1"/>
    <col min="3" max="8" width="10.140625" style="209" customWidth="1"/>
    <col min="9" max="9" width="13.140625" style="209" bestFit="1" customWidth="1"/>
    <col min="10" max="16384" width="9.140625" style="209"/>
  </cols>
  <sheetData>
    <row r="1" spans="1:9" s="210" customFormat="1" ht="15.75">
      <c r="A1" s="342"/>
      <c r="B1" s="341"/>
      <c r="C1" s="341"/>
      <c r="D1" s="341"/>
      <c r="E1" s="341"/>
      <c r="F1" s="341"/>
      <c r="G1" s="341"/>
      <c r="H1" s="169"/>
      <c r="I1" s="218" t="s">
        <v>490</v>
      </c>
    </row>
    <row r="2" spans="1:9" s="210" customFormat="1" ht="15.75">
      <c r="A2" s="342"/>
      <c r="B2" s="341"/>
      <c r="C2" s="341"/>
      <c r="D2" s="341"/>
      <c r="E2" s="341"/>
      <c r="F2" s="341"/>
      <c r="G2" s="341"/>
      <c r="H2" s="169"/>
      <c r="I2" s="218"/>
    </row>
    <row r="3" spans="1:9" s="211" customFormat="1" ht="15.75">
      <c r="A3" s="1159" t="s">
        <v>479</v>
      </c>
      <c r="B3" s="1159"/>
      <c r="C3" s="1159"/>
      <c r="D3" s="1159"/>
      <c r="E3" s="1159"/>
      <c r="F3" s="1159"/>
      <c r="G3" s="1159"/>
      <c r="H3" s="1159"/>
      <c r="I3" s="1159"/>
    </row>
    <row r="4" spans="1:9">
      <c r="A4" s="1256"/>
      <c r="B4" s="1256"/>
      <c r="C4" s="1256"/>
      <c r="D4" s="1256"/>
      <c r="E4" s="1256"/>
      <c r="F4" s="1256"/>
      <c r="G4" s="1256"/>
      <c r="H4" s="1256"/>
      <c r="I4" s="1256"/>
    </row>
    <row r="5" spans="1:9" ht="12.75" thickBot="1">
      <c r="A5" s="1148"/>
      <c r="B5" s="343"/>
      <c r="C5" s="343"/>
      <c r="D5" s="343"/>
      <c r="E5" s="343"/>
      <c r="F5" s="343"/>
      <c r="G5" s="343"/>
      <c r="H5" s="343"/>
      <c r="I5" s="273" t="s">
        <v>457</v>
      </c>
    </row>
    <row r="6" spans="1:9" ht="12.75" thickBot="1">
      <c r="A6" s="1181" t="s">
        <v>8</v>
      </c>
      <c r="B6" s="1257" t="s">
        <v>480</v>
      </c>
      <c r="C6" s="1181" t="s">
        <v>481</v>
      </c>
      <c r="D6" s="1181" t="s">
        <v>1454</v>
      </c>
      <c r="E6" s="1259" t="s">
        <v>482</v>
      </c>
      <c r="F6" s="1260"/>
      <c r="G6" s="1260"/>
      <c r="H6" s="1261"/>
      <c r="I6" s="1257" t="s">
        <v>18</v>
      </c>
    </row>
    <row r="7" spans="1:9" ht="24.75" thickBot="1">
      <c r="A7" s="1182"/>
      <c r="B7" s="1258"/>
      <c r="C7" s="1258"/>
      <c r="D7" s="1182"/>
      <c r="E7" s="349" t="s">
        <v>1442</v>
      </c>
      <c r="F7" s="348" t="s">
        <v>460</v>
      </c>
      <c r="G7" s="351" t="s">
        <v>461</v>
      </c>
      <c r="H7" s="352" t="s">
        <v>1455</v>
      </c>
      <c r="I7" s="1258"/>
    </row>
    <row r="8" spans="1:9" ht="12.75" thickBot="1">
      <c r="A8" s="1141">
        <v>1</v>
      </c>
      <c r="B8" s="344">
        <v>2</v>
      </c>
      <c r="C8" s="339">
        <v>3</v>
      </c>
      <c r="D8" s="344">
        <v>4</v>
      </c>
      <c r="E8" s="1141">
        <v>5</v>
      </c>
      <c r="F8" s="338">
        <v>6</v>
      </c>
      <c r="G8" s="337">
        <v>7</v>
      </c>
      <c r="H8" s="336">
        <v>8</v>
      </c>
      <c r="I8" s="335" t="s">
        <v>483</v>
      </c>
    </row>
    <row r="9" spans="1:9" ht="12.75" thickBot="1">
      <c r="A9" s="340" t="s">
        <v>4</v>
      </c>
      <c r="B9" s="345" t="s">
        <v>891</v>
      </c>
      <c r="C9" s="334" t="s">
        <v>19</v>
      </c>
      <c r="D9" s="350">
        <f t="shared" ref="D9:I9" si="0">SUM(D10:D10)</f>
        <v>0</v>
      </c>
      <c r="E9" s="350">
        <f t="shared" si="0"/>
        <v>0</v>
      </c>
      <c r="F9" s="333">
        <f t="shared" si="0"/>
        <v>0</v>
      </c>
      <c r="G9" s="332">
        <f t="shared" si="0"/>
        <v>0</v>
      </c>
      <c r="H9" s="346">
        <f t="shared" si="0"/>
        <v>0</v>
      </c>
      <c r="I9" s="1142">
        <f t="shared" si="0"/>
        <v>0</v>
      </c>
    </row>
    <row r="10" spans="1:9" ht="12.75" thickBot="1">
      <c r="A10" s="331" t="s">
        <v>5</v>
      </c>
      <c r="B10" s="325" t="s">
        <v>19</v>
      </c>
      <c r="C10" s="330"/>
      <c r="D10" s="329"/>
      <c r="E10" s="328"/>
      <c r="F10" s="327"/>
      <c r="G10" s="326"/>
      <c r="H10" s="353"/>
      <c r="I10" s="358">
        <f>+D10+E10+F10+G10+H10</f>
        <v>0</v>
      </c>
    </row>
    <row r="11" spans="1:9" ht="12.75" thickBot="1">
      <c r="A11" s="340" t="s">
        <v>6</v>
      </c>
      <c r="B11" s="359" t="s">
        <v>892</v>
      </c>
      <c r="C11" s="334" t="s">
        <v>19</v>
      </c>
      <c r="D11" s="350">
        <f t="shared" ref="D11:I11" si="1">SUM(D12:D12)</f>
        <v>0</v>
      </c>
      <c r="E11" s="350">
        <f t="shared" si="1"/>
        <v>0</v>
      </c>
      <c r="F11" s="333">
        <f t="shared" si="1"/>
        <v>10000</v>
      </c>
      <c r="G11" s="332">
        <f t="shared" si="1"/>
        <v>0</v>
      </c>
      <c r="H11" s="346">
        <f t="shared" si="1"/>
        <v>0</v>
      </c>
      <c r="I11" s="1142">
        <f t="shared" si="1"/>
        <v>10000</v>
      </c>
    </row>
    <row r="12" spans="1:9" ht="12.75" thickBot="1">
      <c r="A12" s="331" t="s">
        <v>3</v>
      </c>
      <c r="B12" s="325" t="s">
        <v>1568</v>
      </c>
      <c r="C12" s="330" t="s">
        <v>459</v>
      </c>
      <c r="D12" s="360"/>
      <c r="E12" s="354"/>
      <c r="F12" s="1379">
        <v>10000</v>
      </c>
      <c r="G12" s="356"/>
      <c r="H12" s="355"/>
      <c r="I12" s="361">
        <f>+D12+E12+F12+G12+H12</f>
        <v>10000</v>
      </c>
    </row>
    <row r="13" spans="1:9" ht="12.75" thickBot="1">
      <c r="A13" s="344" t="s">
        <v>16</v>
      </c>
      <c r="B13" s="362" t="s">
        <v>484</v>
      </c>
      <c r="C13" s="363" t="s">
        <v>19</v>
      </c>
      <c r="D13" s="364">
        <f t="shared" ref="D13:I13" si="2">SUM(D14:D14)</f>
        <v>0</v>
      </c>
      <c r="E13" s="365">
        <f t="shared" si="2"/>
        <v>0</v>
      </c>
      <c r="F13" s="367">
        <f t="shared" si="2"/>
        <v>0</v>
      </c>
      <c r="G13" s="368">
        <f t="shared" si="2"/>
        <v>0</v>
      </c>
      <c r="H13" s="369">
        <f t="shared" si="2"/>
        <v>0</v>
      </c>
      <c r="I13" s="1142">
        <f t="shared" si="2"/>
        <v>0</v>
      </c>
    </row>
    <row r="14" spans="1:9" ht="12.75" thickBot="1">
      <c r="A14" s="370" t="s">
        <v>15</v>
      </c>
      <c r="B14" s="371" t="s">
        <v>19</v>
      </c>
      <c r="C14" s="372"/>
      <c r="D14" s="360"/>
      <c r="E14" s="373"/>
      <c r="F14" s="374"/>
      <c r="G14" s="375"/>
      <c r="H14" s="376"/>
      <c r="I14" s="361">
        <f>+D14+E14+F14+G14+H14</f>
        <v>0</v>
      </c>
    </row>
    <row r="15" spans="1:9" ht="12.75" thickBot="1">
      <c r="A15" s="344" t="s">
        <v>14</v>
      </c>
      <c r="B15" s="377" t="s">
        <v>485</v>
      </c>
      <c r="C15" s="363" t="s">
        <v>19</v>
      </c>
      <c r="D15" s="364">
        <f t="shared" ref="D15:I15" si="3">SUM(D16:D40)</f>
        <v>0</v>
      </c>
      <c r="E15" s="365">
        <f t="shared" si="3"/>
        <v>2481158</v>
      </c>
      <c r="F15" s="367">
        <f t="shared" si="3"/>
        <v>0</v>
      </c>
      <c r="G15" s="368">
        <f t="shared" si="3"/>
        <v>0</v>
      </c>
      <c r="H15" s="369">
        <f t="shared" si="3"/>
        <v>0</v>
      </c>
      <c r="I15" s="1142">
        <f t="shared" si="3"/>
        <v>2481158</v>
      </c>
    </row>
    <row r="16" spans="1:9">
      <c r="A16" s="378" t="s">
        <v>13</v>
      </c>
      <c r="B16" s="379" t="s">
        <v>1518</v>
      </c>
      <c r="C16" s="380"/>
      <c r="D16" s="381"/>
      <c r="E16" s="998">
        <v>2826</v>
      </c>
      <c r="F16" s="382"/>
      <c r="G16" s="383"/>
      <c r="H16" s="384"/>
      <c r="I16" s="385">
        <f t="shared" ref="I16:I40" si="4">+D16+E16+F16+G16+H16</f>
        <v>2826</v>
      </c>
    </row>
    <row r="17" spans="1:9">
      <c r="A17" s="378" t="s">
        <v>12</v>
      </c>
      <c r="B17" s="379" t="s">
        <v>1110</v>
      </c>
      <c r="C17" s="380"/>
      <c r="D17" s="381"/>
      <c r="E17" s="242">
        <v>188134</v>
      </c>
      <c r="F17" s="382"/>
      <c r="G17" s="383"/>
      <c r="H17" s="384"/>
      <c r="I17" s="385">
        <f t="shared" ref="I17:I27" si="5">+D17+E17+F17+G17+H17</f>
        <v>188134</v>
      </c>
    </row>
    <row r="18" spans="1:9">
      <c r="A18" s="378" t="s">
        <v>11</v>
      </c>
      <c r="B18" s="379" t="s">
        <v>1111</v>
      </c>
      <c r="C18" s="380"/>
      <c r="D18" s="381"/>
      <c r="E18" s="242">
        <v>177292</v>
      </c>
      <c r="F18" s="382"/>
      <c r="G18" s="383"/>
      <c r="H18" s="384"/>
      <c r="I18" s="385">
        <f t="shared" si="5"/>
        <v>177292</v>
      </c>
    </row>
    <row r="19" spans="1:9">
      <c r="A19" s="378" t="s">
        <v>10</v>
      </c>
      <c r="B19" s="379" t="s">
        <v>1380</v>
      </c>
      <c r="C19" s="380"/>
      <c r="D19" s="381"/>
      <c r="E19" s="242">
        <v>587082</v>
      </c>
      <c r="F19" s="382"/>
      <c r="G19" s="383"/>
      <c r="H19" s="384"/>
      <c r="I19" s="385">
        <f t="shared" si="5"/>
        <v>587082</v>
      </c>
    </row>
    <row r="20" spans="1:9">
      <c r="A20" s="378" t="s">
        <v>9</v>
      </c>
      <c r="B20" s="379" t="s">
        <v>1219</v>
      </c>
      <c r="C20" s="380"/>
      <c r="D20" s="381"/>
      <c r="E20" s="242">
        <v>256470</v>
      </c>
      <c r="F20" s="382"/>
      <c r="G20" s="383"/>
      <c r="H20" s="384"/>
      <c r="I20" s="385">
        <f t="shared" si="5"/>
        <v>256470</v>
      </c>
    </row>
    <row r="21" spans="1:9" ht="24">
      <c r="A21" s="378" t="s">
        <v>45</v>
      </c>
      <c r="B21" s="379" t="s">
        <v>1211</v>
      </c>
      <c r="C21" s="380"/>
      <c r="D21" s="381"/>
      <c r="E21" s="242">
        <v>0</v>
      </c>
      <c r="F21" s="382"/>
      <c r="G21" s="383"/>
      <c r="H21" s="384"/>
      <c r="I21" s="385">
        <f t="shared" si="5"/>
        <v>0</v>
      </c>
    </row>
    <row r="22" spans="1:9">
      <c r="A22" s="378" t="s">
        <v>44</v>
      </c>
      <c r="B22" s="379" t="s">
        <v>1212</v>
      </c>
      <c r="C22" s="380"/>
      <c r="D22" s="381"/>
      <c r="E22" s="242">
        <v>69873</v>
      </c>
      <c r="F22" s="382"/>
      <c r="G22" s="383"/>
      <c r="H22" s="384"/>
      <c r="I22" s="385">
        <f t="shared" si="5"/>
        <v>69873</v>
      </c>
    </row>
    <row r="23" spans="1:9">
      <c r="A23" s="378" t="s">
        <v>43</v>
      </c>
      <c r="B23" s="379" t="s">
        <v>1216</v>
      </c>
      <c r="C23" s="380"/>
      <c r="D23" s="381"/>
      <c r="E23" s="242">
        <v>0</v>
      </c>
      <c r="F23" s="382"/>
      <c r="G23" s="383"/>
      <c r="H23" s="384"/>
      <c r="I23" s="385">
        <f t="shared" si="5"/>
        <v>0</v>
      </c>
    </row>
    <row r="24" spans="1:9">
      <c r="A24" s="378" t="s">
        <v>40</v>
      </c>
      <c r="B24" s="379" t="s">
        <v>1221</v>
      </c>
      <c r="C24" s="380"/>
      <c r="D24" s="381"/>
      <c r="E24" s="242">
        <v>1211</v>
      </c>
      <c r="F24" s="382"/>
      <c r="G24" s="383"/>
      <c r="H24" s="384"/>
      <c r="I24" s="385">
        <f t="shared" si="5"/>
        <v>1211</v>
      </c>
    </row>
    <row r="25" spans="1:9">
      <c r="A25" s="378" t="s">
        <v>39</v>
      </c>
      <c r="B25" s="379" t="s">
        <v>1213</v>
      </c>
      <c r="C25" s="380"/>
      <c r="D25" s="381"/>
      <c r="E25" s="242">
        <v>35880</v>
      </c>
      <c r="F25" s="382"/>
      <c r="G25" s="383"/>
      <c r="H25" s="384"/>
      <c r="I25" s="385">
        <f t="shared" si="5"/>
        <v>35880</v>
      </c>
    </row>
    <row r="26" spans="1:9" ht="24">
      <c r="A26" s="378" t="s">
        <v>38</v>
      </c>
      <c r="B26" s="379" t="s">
        <v>1214</v>
      </c>
      <c r="C26" s="380"/>
      <c r="D26" s="381"/>
      <c r="E26" s="242">
        <v>30074</v>
      </c>
      <c r="F26" s="382"/>
      <c r="G26" s="383"/>
      <c r="H26" s="384"/>
      <c r="I26" s="385">
        <f t="shared" si="5"/>
        <v>30074</v>
      </c>
    </row>
    <row r="27" spans="1:9" ht="24">
      <c r="A27" s="378" t="s">
        <v>36</v>
      </c>
      <c r="B27" s="379" t="s">
        <v>1215</v>
      </c>
      <c r="C27" s="380"/>
      <c r="D27" s="381"/>
      <c r="E27" s="242">
        <v>195124</v>
      </c>
      <c r="F27" s="382"/>
      <c r="G27" s="383"/>
      <c r="H27" s="384"/>
      <c r="I27" s="385">
        <f t="shared" si="5"/>
        <v>195124</v>
      </c>
    </row>
    <row r="28" spans="1:9">
      <c r="A28" s="378" t="s">
        <v>35</v>
      </c>
      <c r="B28" s="379" t="s">
        <v>1220</v>
      </c>
      <c r="C28" s="380"/>
      <c r="D28" s="381"/>
      <c r="E28" s="242">
        <v>4509</v>
      </c>
      <c r="F28" s="382"/>
      <c r="G28" s="383"/>
      <c r="H28" s="384"/>
      <c r="I28" s="385">
        <f t="shared" si="4"/>
        <v>4509</v>
      </c>
    </row>
    <row r="29" spans="1:9">
      <c r="A29" s="378" t="s">
        <v>34</v>
      </c>
      <c r="B29" s="379" t="s">
        <v>1522</v>
      </c>
      <c r="C29" s="380"/>
      <c r="D29" s="381"/>
      <c r="E29" s="242">
        <v>40360</v>
      </c>
      <c r="F29" s="382"/>
      <c r="G29" s="383"/>
      <c r="H29" s="384"/>
      <c r="I29" s="385">
        <f t="shared" si="4"/>
        <v>40360</v>
      </c>
    </row>
    <row r="30" spans="1:9">
      <c r="A30" s="378" t="s">
        <v>33</v>
      </c>
      <c r="B30" s="379" t="s">
        <v>1379</v>
      </c>
      <c r="C30" s="380"/>
      <c r="D30" s="381"/>
      <c r="E30" s="242">
        <v>67673</v>
      </c>
      <c r="F30" s="382"/>
      <c r="G30" s="383"/>
      <c r="H30" s="384"/>
      <c r="I30" s="385">
        <f t="shared" si="4"/>
        <v>67673</v>
      </c>
    </row>
    <row r="31" spans="1:9">
      <c r="A31" s="378" t="s">
        <v>32</v>
      </c>
      <c r="B31" s="379" t="s">
        <v>1523</v>
      </c>
      <c r="C31" s="380"/>
      <c r="D31" s="381"/>
      <c r="E31" s="242">
        <v>7553</v>
      </c>
      <c r="F31" s="382"/>
      <c r="G31" s="383"/>
      <c r="H31" s="384"/>
      <c r="I31" s="385">
        <f t="shared" si="4"/>
        <v>7553</v>
      </c>
    </row>
    <row r="32" spans="1:9">
      <c r="A32" s="378" t="s">
        <v>470</v>
      </c>
      <c r="B32" s="379" t="s">
        <v>1378</v>
      </c>
      <c r="C32" s="380"/>
      <c r="D32" s="381"/>
      <c r="E32" s="242">
        <v>2976</v>
      </c>
      <c r="F32" s="382"/>
      <c r="G32" s="383"/>
      <c r="H32" s="384"/>
      <c r="I32" s="385">
        <f t="shared" si="4"/>
        <v>2976</v>
      </c>
    </row>
    <row r="33" spans="1:9">
      <c r="A33" s="378" t="s">
        <v>471</v>
      </c>
      <c r="B33" s="379" t="s">
        <v>1377</v>
      </c>
      <c r="C33" s="380"/>
      <c r="D33" s="381"/>
      <c r="E33" s="242">
        <v>10672</v>
      </c>
      <c r="F33" s="382"/>
      <c r="G33" s="383"/>
      <c r="H33" s="384"/>
      <c r="I33" s="385">
        <f t="shared" si="4"/>
        <v>10672</v>
      </c>
    </row>
    <row r="34" spans="1:9">
      <c r="A34" s="378" t="s">
        <v>472</v>
      </c>
      <c r="B34" s="379" t="s">
        <v>1376</v>
      </c>
      <c r="C34" s="380"/>
      <c r="D34" s="381"/>
      <c r="E34" s="242">
        <v>57079</v>
      </c>
      <c r="F34" s="382"/>
      <c r="G34" s="383"/>
      <c r="H34" s="384"/>
      <c r="I34" s="385">
        <f t="shared" si="4"/>
        <v>57079</v>
      </c>
    </row>
    <row r="35" spans="1:9">
      <c r="A35" s="378" t="s">
        <v>473</v>
      </c>
      <c r="B35" s="379" t="s">
        <v>1419</v>
      </c>
      <c r="C35" s="380"/>
      <c r="D35" s="381"/>
      <c r="E35" s="242">
        <v>97922</v>
      </c>
      <c r="F35" s="382"/>
      <c r="G35" s="383"/>
      <c r="H35" s="384"/>
      <c r="I35" s="385">
        <f t="shared" si="4"/>
        <v>97922</v>
      </c>
    </row>
    <row r="36" spans="1:9">
      <c r="A36" s="378" t="s">
        <v>486</v>
      </c>
      <c r="B36" s="379" t="s">
        <v>1374</v>
      </c>
      <c r="C36" s="380"/>
      <c r="D36" s="381"/>
      <c r="E36" s="998">
        <v>6599</v>
      </c>
      <c r="F36" s="382"/>
      <c r="G36" s="383"/>
      <c r="H36" s="384"/>
      <c r="I36" s="385">
        <f t="shared" si="4"/>
        <v>6599</v>
      </c>
    </row>
    <row r="37" spans="1:9">
      <c r="A37" s="378" t="s">
        <v>487</v>
      </c>
      <c r="B37" s="379" t="s">
        <v>1373</v>
      </c>
      <c r="C37" s="380"/>
      <c r="D37" s="381"/>
      <c r="E37" s="242">
        <v>81210</v>
      </c>
      <c r="F37" s="382"/>
      <c r="G37" s="383"/>
      <c r="H37" s="384"/>
      <c r="I37" s="385">
        <f t="shared" si="4"/>
        <v>81210</v>
      </c>
    </row>
    <row r="38" spans="1:9">
      <c r="A38" s="378" t="s">
        <v>488</v>
      </c>
      <c r="B38" s="379" t="s">
        <v>1372</v>
      </c>
      <c r="C38" s="380"/>
      <c r="D38" s="381"/>
      <c r="E38" s="998">
        <v>514107</v>
      </c>
      <c r="F38" s="382"/>
      <c r="G38" s="383"/>
      <c r="H38" s="384"/>
      <c r="I38" s="385">
        <f t="shared" si="4"/>
        <v>514107</v>
      </c>
    </row>
    <row r="39" spans="1:9">
      <c r="A39" s="378" t="s">
        <v>1410</v>
      </c>
      <c r="B39" s="379" t="s">
        <v>1371</v>
      </c>
      <c r="C39" s="380"/>
      <c r="D39" s="381"/>
      <c r="E39" s="242">
        <v>25745</v>
      </c>
      <c r="F39" s="382"/>
      <c r="G39" s="383"/>
      <c r="H39" s="384"/>
      <c r="I39" s="385">
        <f t="shared" ref="I39" si="6">+D39+E39+F39+G39+H39</f>
        <v>25745</v>
      </c>
    </row>
    <row r="40" spans="1:9" ht="12.75" thickBot="1">
      <c r="A40" s="378" t="s">
        <v>1411</v>
      </c>
      <c r="B40" s="379" t="s">
        <v>1524</v>
      </c>
      <c r="C40" s="380"/>
      <c r="D40" s="381"/>
      <c r="E40" s="242">
        <v>20787</v>
      </c>
      <c r="F40" s="382"/>
      <c r="G40" s="383"/>
      <c r="H40" s="384"/>
      <c r="I40" s="385">
        <f t="shared" si="4"/>
        <v>20787</v>
      </c>
    </row>
    <row r="41" spans="1:9" ht="12.75" thickBot="1">
      <c r="A41" s="344" t="s">
        <v>1412</v>
      </c>
      <c r="B41" s="362" t="s">
        <v>489</v>
      </c>
      <c r="C41" s="363" t="s">
        <v>19</v>
      </c>
      <c r="D41" s="364">
        <f>SUM(D42:D45)</f>
        <v>12880</v>
      </c>
      <c r="E41" s="365">
        <f t="shared" ref="E41:I41" si="7">SUM(E42:E45)</f>
        <v>52412</v>
      </c>
      <c r="F41" s="367">
        <f t="shared" si="7"/>
        <v>28308</v>
      </c>
      <c r="G41" s="368">
        <f t="shared" si="7"/>
        <v>2000</v>
      </c>
      <c r="H41" s="366">
        <f t="shared" si="7"/>
        <v>31525</v>
      </c>
      <c r="I41" s="387">
        <f t="shared" si="7"/>
        <v>127125</v>
      </c>
    </row>
    <row r="42" spans="1:9">
      <c r="A42" s="1376" t="s">
        <v>1413</v>
      </c>
      <c r="B42" s="1377" t="s">
        <v>1066</v>
      </c>
      <c r="C42" s="1378" t="s">
        <v>1067</v>
      </c>
      <c r="D42" s="360"/>
      <c r="E42" s="354">
        <f>4425-4425</f>
        <v>0</v>
      </c>
      <c r="F42" s="1379"/>
      <c r="G42" s="356"/>
      <c r="H42" s="355"/>
      <c r="I42" s="1380">
        <f>+D42+E42+F42+G42+H42</f>
        <v>0</v>
      </c>
    </row>
    <row r="43" spans="1:9">
      <c r="A43" s="1376" t="s">
        <v>1414</v>
      </c>
      <c r="B43" s="1377" t="s">
        <v>1130</v>
      </c>
      <c r="C43" s="1378" t="s">
        <v>444</v>
      </c>
      <c r="D43" s="329">
        <f>9000+2000-2000</f>
        <v>9000</v>
      </c>
      <c r="E43" s="354">
        <f>2000+2000</f>
        <v>4000</v>
      </c>
      <c r="F43" s="1379">
        <v>2000</v>
      </c>
      <c r="G43" s="356">
        <v>2000</v>
      </c>
      <c r="H43" s="355">
        <f>37525-6000</f>
        <v>31525</v>
      </c>
      <c r="I43" s="1380">
        <f>+D43+E43+F43+G43+H43</f>
        <v>48525</v>
      </c>
    </row>
    <row r="44" spans="1:9">
      <c r="A44" s="1376" t="s">
        <v>1415</v>
      </c>
      <c r="B44" s="1377" t="s">
        <v>1367</v>
      </c>
      <c r="C44" s="1378" t="s">
        <v>458</v>
      </c>
      <c r="D44" s="329">
        <f>3880+13205-13205</f>
        <v>3880</v>
      </c>
      <c r="E44" s="354">
        <f>13205+19807</f>
        <v>33012</v>
      </c>
      <c r="F44" s="1379">
        <v>19808</v>
      </c>
      <c r="G44" s="356"/>
      <c r="H44" s="355"/>
      <c r="I44" s="1380">
        <f>+D44+E44+F44+G44+H44</f>
        <v>56700</v>
      </c>
    </row>
    <row r="45" spans="1:9" ht="12.75" thickBot="1">
      <c r="A45" s="1376" t="s">
        <v>1421</v>
      </c>
      <c r="B45" s="1377" t="s">
        <v>1368</v>
      </c>
      <c r="C45" s="1378" t="s">
        <v>458</v>
      </c>
      <c r="D45" s="1381">
        <f>8900-8900</f>
        <v>0</v>
      </c>
      <c r="E45" s="354">
        <f>6500+8900</f>
        <v>15400</v>
      </c>
      <c r="F45" s="1379">
        <v>6500</v>
      </c>
      <c r="G45" s="356"/>
      <c r="H45" s="355"/>
      <c r="I45" s="1380">
        <f>+D45+E45+F45+G45+H45</f>
        <v>21900</v>
      </c>
    </row>
    <row r="46" spans="1:9" ht="12.75" thickBot="1">
      <c r="A46" s="1254" t="s">
        <v>1422</v>
      </c>
      <c r="B46" s="1255"/>
      <c r="C46" s="386" t="s">
        <v>19</v>
      </c>
      <c r="D46" s="350">
        <f t="shared" ref="D46:I46" si="8">+D9+D11+D13+D15+D41</f>
        <v>12880</v>
      </c>
      <c r="E46" s="350">
        <f t="shared" si="8"/>
        <v>2533570</v>
      </c>
      <c r="F46" s="333">
        <f t="shared" si="8"/>
        <v>38308</v>
      </c>
      <c r="G46" s="332">
        <f t="shared" si="8"/>
        <v>2000</v>
      </c>
      <c r="H46" s="347">
        <f t="shared" si="8"/>
        <v>31525</v>
      </c>
      <c r="I46" s="387">
        <f t="shared" si="8"/>
        <v>2618283</v>
      </c>
    </row>
  </sheetData>
  <mergeCells count="9">
    <mergeCell ref="A46:B46"/>
    <mergeCell ref="A3:I3"/>
    <mergeCell ref="A4:I4"/>
    <mergeCell ref="A6:A7"/>
    <mergeCell ref="B6:B7"/>
    <mergeCell ref="C6:C7"/>
    <mergeCell ref="D6:D7"/>
    <mergeCell ref="I6:I7"/>
    <mergeCell ref="E6:H6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8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 codeName="Munka20">
    <tabColor rgb="FF00B0F0"/>
    <pageSetUpPr fitToPage="1"/>
  </sheetPr>
  <dimension ref="A1:G25"/>
  <sheetViews>
    <sheetView zoomScaleNormal="100" workbookViewId="0"/>
  </sheetViews>
  <sheetFormatPr defaultColWidth="15.28515625" defaultRowHeight="12"/>
  <cols>
    <col min="1" max="1" width="5.140625" style="209" customWidth="1"/>
    <col min="2" max="2" width="51.28515625" style="209" bestFit="1" customWidth="1"/>
    <col min="3" max="4" width="16.7109375" style="209" customWidth="1"/>
    <col min="5" max="5" width="15.28515625" style="209"/>
    <col min="6" max="7" width="0" style="209" hidden="1" customWidth="1"/>
    <col min="8" max="16384" width="15.28515625" style="209"/>
  </cols>
  <sheetData>
    <row r="1" spans="1:4" s="210" customFormat="1" ht="15.75">
      <c r="A1" s="169"/>
      <c r="B1" s="169"/>
      <c r="C1" s="169"/>
      <c r="D1" s="218" t="s">
        <v>491</v>
      </c>
    </row>
    <row r="2" spans="1:4" s="210" customFormat="1" ht="15.75">
      <c r="A2" s="169"/>
      <c r="B2" s="169"/>
      <c r="C2" s="169"/>
      <c r="D2" s="218"/>
    </row>
    <row r="3" spans="1:4" s="211" customFormat="1" ht="15.75">
      <c r="A3" s="1159" t="s">
        <v>1433</v>
      </c>
      <c r="B3" s="1159"/>
      <c r="C3" s="1159"/>
      <c r="D3" s="1159"/>
    </row>
    <row r="4" spans="1:4" s="211" customFormat="1" ht="15.75">
      <c r="A4" s="1262" t="s">
        <v>492</v>
      </c>
      <c r="B4" s="1262"/>
      <c r="C4" s="1262"/>
      <c r="D4" s="1262"/>
    </row>
    <row r="5" spans="1:4" ht="12.75" thickBot="1">
      <c r="A5" s="401"/>
      <c r="B5" s="400"/>
      <c r="C5" s="400"/>
      <c r="D5" s="399" t="s">
        <v>457</v>
      </c>
    </row>
    <row r="6" spans="1:4" ht="36.75" thickBot="1">
      <c r="A6" s="340" t="s">
        <v>17</v>
      </c>
      <c r="B6" s="403" t="s">
        <v>50</v>
      </c>
      <c r="C6" s="403" t="s">
        <v>1456</v>
      </c>
      <c r="D6" s="402" t="s">
        <v>1457</v>
      </c>
    </row>
    <row r="7" spans="1:4" ht="12.75" thickBot="1">
      <c r="A7" s="340">
        <v>1</v>
      </c>
      <c r="B7" s="403">
        <v>2</v>
      </c>
      <c r="C7" s="403">
        <v>3</v>
      </c>
      <c r="D7" s="402">
        <v>4</v>
      </c>
    </row>
    <row r="8" spans="1:4">
      <c r="A8" s="398" t="s">
        <v>4</v>
      </c>
      <c r="B8" s="397" t="s">
        <v>493</v>
      </c>
      <c r="C8" s="390"/>
      <c r="D8" s="376"/>
    </row>
    <row r="9" spans="1:4">
      <c r="A9" s="396" t="s">
        <v>5</v>
      </c>
      <c r="B9" s="395" t="s">
        <v>494</v>
      </c>
      <c r="C9" s="389"/>
      <c r="D9" s="357"/>
    </row>
    <row r="10" spans="1:4">
      <c r="A10" s="396" t="s">
        <v>6</v>
      </c>
      <c r="B10" s="395" t="s">
        <v>495</v>
      </c>
      <c r="C10" s="389"/>
      <c r="D10" s="357"/>
    </row>
    <row r="11" spans="1:4">
      <c r="A11" s="396" t="s">
        <v>3</v>
      </c>
      <c r="B11" s="395" t="s">
        <v>496</v>
      </c>
      <c r="C11" s="389"/>
      <c r="D11" s="357"/>
    </row>
    <row r="12" spans="1:4">
      <c r="A12" s="396" t="s">
        <v>16</v>
      </c>
      <c r="B12" s="395" t="s">
        <v>497</v>
      </c>
      <c r="C12" s="389">
        <f>+C13+C14+C15+C16+C17+C18+C19</f>
        <v>372453</v>
      </c>
      <c r="D12" s="802">
        <f>+D13+D14+D15+D16+D17+D18+D19</f>
        <v>5351</v>
      </c>
    </row>
    <row r="13" spans="1:4">
      <c r="A13" s="396" t="s">
        <v>226</v>
      </c>
      <c r="B13" s="394" t="s">
        <v>498</v>
      </c>
      <c r="C13" s="388">
        <v>32000</v>
      </c>
      <c r="D13" s="999"/>
    </row>
    <row r="14" spans="1:4">
      <c r="A14" s="396" t="s">
        <v>227</v>
      </c>
      <c r="B14" s="394" t="s">
        <v>499</v>
      </c>
      <c r="C14" s="388">
        <v>11952</v>
      </c>
      <c r="D14" s="999"/>
    </row>
    <row r="15" spans="1:4">
      <c r="A15" s="396" t="s">
        <v>228</v>
      </c>
      <c r="B15" s="394" t="s">
        <v>500</v>
      </c>
      <c r="C15" s="388"/>
      <c r="D15" s="999"/>
    </row>
    <row r="16" spans="1:4">
      <c r="A16" s="396" t="s">
        <v>256</v>
      </c>
      <c r="B16" s="394" t="s">
        <v>501</v>
      </c>
      <c r="C16" s="388">
        <v>26282</v>
      </c>
      <c r="D16" s="999">
        <v>3282</v>
      </c>
    </row>
    <row r="17" spans="1:7">
      <c r="A17" s="396" t="s">
        <v>257</v>
      </c>
      <c r="B17" s="394" t="s">
        <v>502</v>
      </c>
      <c r="C17" s="388">
        <v>150</v>
      </c>
      <c r="D17" s="999"/>
    </row>
    <row r="18" spans="1:7">
      <c r="A18" s="396" t="s">
        <v>258</v>
      </c>
      <c r="B18" s="394" t="s">
        <v>503</v>
      </c>
      <c r="C18" s="388"/>
      <c r="D18" s="999"/>
    </row>
    <row r="19" spans="1:7">
      <c r="A19" s="396" t="s">
        <v>259</v>
      </c>
      <c r="B19" s="394" t="s">
        <v>504</v>
      </c>
      <c r="C19" s="388">
        <v>302069</v>
      </c>
      <c r="D19" s="999">
        <v>2069</v>
      </c>
    </row>
    <row r="20" spans="1:7">
      <c r="A20" s="396" t="s">
        <v>15</v>
      </c>
      <c r="B20" s="395" t="s">
        <v>505</v>
      </c>
      <c r="C20" s="389"/>
      <c r="D20" s="357"/>
    </row>
    <row r="21" spans="1:7">
      <c r="A21" s="396" t="s">
        <v>14</v>
      </c>
      <c r="B21" s="395" t="s">
        <v>506</v>
      </c>
      <c r="C21" s="389"/>
      <c r="D21" s="357"/>
    </row>
    <row r="22" spans="1:7">
      <c r="A22" s="396" t="s">
        <v>13</v>
      </c>
      <c r="B22" s="395" t="s">
        <v>507</v>
      </c>
      <c r="C22" s="389"/>
      <c r="D22" s="357"/>
    </row>
    <row r="23" spans="1:7">
      <c r="A23" s="396" t="s">
        <v>12</v>
      </c>
      <c r="B23" s="395" t="s">
        <v>508</v>
      </c>
      <c r="C23" s="389"/>
      <c r="D23" s="357"/>
    </row>
    <row r="24" spans="1:7" ht="12.75" thickBot="1">
      <c r="A24" s="803" t="s">
        <v>11</v>
      </c>
      <c r="B24" s="804" t="s">
        <v>509</v>
      </c>
      <c r="C24" s="805"/>
      <c r="D24" s="806"/>
    </row>
    <row r="25" spans="1:7" ht="12.75" thickBot="1">
      <c r="A25" s="392" t="s">
        <v>10</v>
      </c>
      <c r="B25" s="404" t="s">
        <v>440</v>
      </c>
      <c r="C25" s="404">
        <f>+C8+C9+C10+C11+C12+C20+C21+C22+C23+C24</f>
        <v>372453</v>
      </c>
      <c r="D25" s="391">
        <f>+D8+D9+D10+D11+D12+D20+D21+D22+D23+D24</f>
        <v>5351</v>
      </c>
      <c r="F25" s="683">
        <v>367102</v>
      </c>
      <c r="G25" s="683">
        <f>+C25-D25-F25</f>
        <v>0</v>
      </c>
    </row>
  </sheetData>
  <mergeCells count="2">
    <mergeCell ref="A3:D3"/>
    <mergeCell ref="A4:D4"/>
  </mergeCells>
  <printOptions horizontalCentered="1"/>
  <pageMargins left="0.39370078740157483" right="0.39370078740157483" top="0.39370078740157483" bottom="0.39370078740157483" header="0.19685039370078741" footer="0.19685039370078741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 codeName="Munka21">
    <tabColor rgb="FF00B0F0"/>
    <pageSetUpPr fitToPage="1"/>
  </sheetPr>
  <dimension ref="A1:AC39"/>
  <sheetViews>
    <sheetView zoomScaleNormal="100" workbookViewId="0"/>
  </sheetViews>
  <sheetFormatPr defaultColWidth="9.140625" defaultRowHeight="12"/>
  <cols>
    <col min="1" max="1" width="4.85546875" style="209" customWidth="1"/>
    <col min="2" max="2" width="44" style="209" bestFit="1" customWidth="1"/>
    <col min="3" max="17" width="10.28515625" style="209" customWidth="1"/>
    <col min="18" max="21" width="0" style="209" hidden="1" customWidth="1"/>
    <col min="22" max="29" width="9.140625" style="209" hidden="1" customWidth="1"/>
    <col min="30" max="16384" width="9.140625" style="209"/>
  </cols>
  <sheetData>
    <row r="1" spans="1:29" s="210" customFormat="1" ht="15.75">
      <c r="A1" s="169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218" t="s">
        <v>835</v>
      </c>
      <c r="Q1" s="218"/>
      <c r="V1" s="846"/>
      <c r="W1" s="846"/>
      <c r="X1" s="846"/>
      <c r="Y1" s="846"/>
      <c r="Z1" s="846"/>
      <c r="AA1" s="846"/>
      <c r="AB1" s="846"/>
      <c r="AC1" s="846"/>
    </row>
    <row r="2" spans="1:29" s="210" customFormat="1" ht="16.5" thickBot="1">
      <c r="A2" s="169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218"/>
      <c r="Q2" s="218"/>
      <c r="V2" s="846"/>
      <c r="W2" s="846">
        <v>3</v>
      </c>
      <c r="X2" s="846">
        <v>5</v>
      </c>
      <c r="Y2" s="846">
        <v>7</v>
      </c>
      <c r="Z2" s="846">
        <v>9</v>
      </c>
      <c r="AA2" s="846">
        <v>12</v>
      </c>
      <c r="AB2" s="846"/>
      <c r="AC2" s="846"/>
    </row>
    <row r="3" spans="1:29" s="211" customFormat="1" ht="16.5" thickBot="1">
      <c r="A3" s="1263" t="s">
        <v>1434</v>
      </c>
      <c r="B3" s="1263"/>
      <c r="C3" s="1263"/>
      <c r="D3" s="1263"/>
      <c r="E3" s="1263"/>
      <c r="F3" s="1263"/>
      <c r="G3" s="1263"/>
      <c r="H3" s="1263"/>
      <c r="I3" s="1263"/>
      <c r="J3" s="1263"/>
      <c r="K3" s="1263"/>
      <c r="L3" s="1263"/>
      <c r="M3" s="1263"/>
      <c r="N3" s="1263"/>
      <c r="O3" s="1263"/>
      <c r="P3" s="1263"/>
      <c r="Q3" s="1151"/>
      <c r="V3" s="847" t="s">
        <v>956</v>
      </c>
      <c r="W3" s="848" t="s">
        <v>513</v>
      </c>
      <c r="X3" s="849" t="s">
        <v>515</v>
      </c>
      <c r="Y3" s="849" t="s">
        <v>517</v>
      </c>
      <c r="Z3" s="849" t="s">
        <v>519</v>
      </c>
      <c r="AA3" s="850" t="s">
        <v>957</v>
      </c>
      <c r="AB3" s="851" t="s">
        <v>18</v>
      </c>
      <c r="AC3" s="846"/>
    </row>
    <row r="4" spans="1:29" ht="12.75" thickBot="1">
      <c r="A4" s="171"/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439" t="s">
        <v>49</v>
      </c>
      <c r="Q4" s="439"/>
      <c r="V4" s="853" t="s">
        <v>958</v>
      </c>
      <c r="W4" s="854">
        <f>120000+10000</f>
        <v>130000</v>
      </c>
      <c r="X4" s="855">
        <v>10000</v>
      </c>
      <c r="Y4" s="855">
        <v>0</v>
      </c>
      <c r="Z4" s="855">
        <f>120000+10000</f>
        <v>130000</v>
      </c>
      <c r="AA4" s="856">
        <v>30000</v>
      </c>
      <c r="AB4" s="871">
        <f t="shared" ref="AB4:AC11" si="0">SUM(W4:AA4)</f>
        <v>300000</v>
      </c>
      <c r="AC4" s="846">
        <v>280000</v>
      </c>
    </row>
    <row r="5" spans="1:29" ht="24.75" thickBot="1">
      <c r="A5" s="417" t="s">
        <v>17</v>
      </c>
      <c r="B5" s="418" t="s">
        <v>7</v>
      </c>
      <c r="C5" s="156" t="s">
        <v>1442</v>
      </c>
      <c r="D5" s="424" t="s">
        <v>511</v>
      </c>
      <c r="E5" s="416" t="s">
        <v>512</v>
      </c>
      <c r="F5" s="416" t="s">
        <v>513</v>
      </c>
      <c r="G5" s="416" t="s">
        <v>514</v>
      </c>
      <c r="H5" s="416" t="s">
        <v>515</v>
      </c>
      <c r="I5" s="416" t="s">
        <v>516</v>
      </c>
      <c r="J5" s="416" t="s">
        <v>517</v>
      </c>
      <c r="K5" s="416" t="s">
        <v>518</v>
      </c>
      <c r="L5" s="416" t="s">
        <v>519</v>
      </c>
      <c r="M5" s="416" t="s">
        <v>520</v>
      </c>
      <c r="N5" s="416" t="s">
        <v>521</v>
      </c>
      <c r="O5" s="416" t="s">
        <v>522</v>
      </c>
      <c r="P5" s="419" t="s">
        <v>440</v>
      </c>
      <c r="Q5" s="843"/>
      <c r="V5" s="858" t="s">
        <v>959</v>
      </c>
      <c r="W5" s="859">
        <v>13500</v>
      </c>
      <c r="X5" s="860">
        <v>3500</v>
      </c>
      <c r="Y5" s="860">
        <v>0</v>
      </c>
      <c r="Z5" s="860">
        <v>3500</v>
      </c>
      <c r="AA5" s="861">
        <v>2500</v>
      </c>
      <c r="AB5" s="872">
        <f t="shared" si="0"/>
        <v>23000</v>
      </c>
      <c r="AC5" s="852">
        <v>23000</v>
      </c>
    </row>
    <row r="6" spans="1:29" ht="12.75" thickBot="1">
      <c r="A6" s="415"/>
      <c r="B6" s="1264" t="s">
        <v>523</v>
      </c>
      <c r="C6" s="1265"/>
      <c r="D6" s="1266"/>
      <c r="E6" s="1266"/>
      <c r="F6" s="1266"/>
      <c r="G6" s="1266"/>
      <c r="H6" s="1266"/>
      <c r="I6" s="1266"/>
      <c r="J6" s="1266"/>
      <c r="K6" s="1266"/>
      <c r="L6" s="1266"/>
      <c r="M6" s="1266"/>
      <c r="N6" s="1266"/>
      <c r="O6" s="1266"/>
      <c r="P6" s="1267"/>
      <c r="Q6" s="1152"/>
      <c r="R6" s="683"/>
      <c r="V6" s="858" t="s">
        <v>960</v>
      </c>
      <c r="W6" s="859">
        <v>12000</v>
      </c>
      <c r="X6" s="860">
        <v>4000</v>
      </c>
      <c r="Y6" s="860">
        <v>0</v>
      </c>
      <c r="Z6" s="860">
        <v>12000</v>
      </c>
      <c r="AA6" s="861">
        <v>4000</v>
      </c>
      <c r="AB6" s="872">
        <f t="shared" si="0"/>
        <v>32000</v>
      </c>
      <c r="AC6" s="857">
        <v>32000</v>
      </c>
    </row>
    <row r="7" spans="1:29">
      <c r="A7" s="414" t="s">
        <v>4</v>
      </c>
      <c r="B7" s="413" t="s">
        <v>528</v>
      </c>
      <c r="C7" s="412">
        <f>+'1.mell._Össz_Mérleg2020'!C11</f>
        <v>992226</v>
      </c>
      <c r="D7" s="1382">
        <f>69622+628</f>
        <v>70250</v>
      </c>
      <c r="E7" s="1383">
        <f>69622+628</f>
        <v>70250</v>
      </c>
      <c r="F7" s="1383">
        <f t="shared" ref="F7:H7" si="1">69622+628</f>
        <v>70250</v>
      </c>
      <c r="G7" s="1383">
        <f t="shared" si="1"/>
        <v>70250</v>
      </c>
      <c r="H7" s="1383">
        <f t="shared" si="1"/>
        <v>70250</v>
      </c>
      <c r="I7" s="1383">
        <f>69622+132421-57810+628</f>
        <v>144861</v>
      </c>
      <c r="J7" s="1383">
        <f>69622+628</f>
        <v>70250</v>
      </c>
      <c r="K7" s="1383">
        <f>69622+628</f>
        <v>70250</v>
      </c>
      <c r="L7" s="1383">
        <f>69622+628</f>
        <v>70250</v>
      </c>
      <c r="M7" s="1383">
        <f>69622+628</f>
        <v>70250</v>
      </c>
      <c r="N7" s="1383">
        <f>69622+628</f>
        <v>70250</v>
      </c>
      <c r="O7" s="1383">
        <f>69622-1+132421-57810+628+5</f>
        <v>144865</v>
      </c>
      <c r="P7" s="411">
        <f>SUM(D7:O7)</f>
        <v>992226</v>
      </c>
      <c r="Q7" s="844"/>
      <c r="R7" s="683">
        <f t="shared" ref="R7:R15" si="2">+C7-P7</f>
        <v>0</v>
      </c>
      <c r="S7" s="209">
        <f t="shared" ref="S7:S15" si="3">+C7/12</f>
        <v>82685.5</v>
      </c>
      <c r="T7" s="209">
        <f>+R7/12</f>
        <v>0</v>
      </c>
      <c r="V7" s="858" t="s">
        <v>961</v>
      </c>
      <c r="W7" s="863">
        <v>10000</v>
      </c>
      <c r="X7" s="864">
        <v>4000</v>
      </c>
      <c r="Y7" s="864">
        <v>0</v>
      </c>
      <c r="Z7" s="864">
        <v>10000</v>
      </c>
      <c r="AA7" s="865">
        <v>3500</v>
      </c>
      <c r="AB7" s="873">
        <f t="shared" si="0"/>
        <v>27500</v>
      </c>
      <c r="AC7" s="862">
        <v>27500</v>
      </c>
    </row>
    <row r="8" spans="1:29">
      <c r="A8" s="410" t="s">
        <v>5</v>
      </c>
      <c r="B8" s="409" t="s">
        <v>524</v>
      </c>
      <c r="C8" s="408">
        <f>+'1.mell._Össz_Mérleg2020'!C25</f>
        <v>414105</v>
      </c>
      <c r="D8" s="1031">
        <v>1525</v>
      </c>
      <c r="E8" s="1032">
        <v>1525</v>
      </c>
      <c r="F8" s="1032">
        <f>161976+1525+10000</f>
        <v>173501</v>
      </c>
      <c r="G8" s="1032">
        <v>1525</v>
      </c>
      <c r="H8" s="1032">
        <f>21600+1525</f>
        <v>23125</v>
      </c>
      <c r="I8" s="1032">
        <v>1525</v>
      </c>
      <c r="J8" s="1032">
        <f>75+1525</f>
        <v>1600</v>
      </c>
      <c r="K8" s="1032">
        <v>1525</v>
      </c>
      <c r="L8" s="1032">
        <f>152051+1525</f>
        <v>153576</v>
      </c>
      <c r="M8" s="1032">
        <v>1525</v>
      </c>
      <c r="N8" s="1032">
        <v>1525</v>
      </c>
      <c r="O8" s="1032">
        <f>40100+1525+3+10000</f>
        <v>51628</v>
      </c>
      <c r="P8" s="407">
        <f t="shared" ref="P8:P15" si="4">SUM(D8:O8)</f>
        <v>414105</v>
      </c>
      <c r="Q8" s="844"/>
      <c r="R8" s="683">
        <f t="shared" si="2"/>
        <v>0</v>
      </c>
      <c r="S8" s="209">
        <f t="shared" si="3"/>
        <v>34508.75</v>
      </c>
      <c r="T8" s="209">
        <f>+R8/12</f>
        <v>0</v>
      </c>
      <c r="V8" s="858" t="s">
        <v>962</v>
      </c>
      <c r="W8" s="859">
        <v>0</v>
      </c>
      <c r="X8" s="860">
        <v>0</v>
      </c>
      <c r="Y8" s="860">
        <v>75</v>
      </c>
      <c r="Z8" s="860">
        <v>75</v>
      </c>
      <c r="AA8" s="861">
        <v>0</v>
      </c>
      <c r="AB8" s="872">
        <f t="shared" si="0"/>
        <v>150</v>
      </c>
      <c r="AC8" s="862">
        <v>150</v>
      </c>
    </row>
    <row r="9" spans="1:29">
      <c r="A9" s="410" t="s">
        <v>6</v>
      </c>
      <c r="B9" s="409" t="s">
        <v>529</v>
      </c>
      <c r="C9" s="408">
        <f>+'1.mell._Össz_Mérleg2020'!C32</f>
        <v>186868</v>
      </c>
      <c r="D9" s="1031">
        <f>14906+667</f>
        <v>15573</v>
      </c>
      <c r="E9" s="1032">
        <f>14906+667</f>
        <v>15573</v>
      </c>
      <c r="F9" s="1032">
        <f t="shared" ref="F9:O9" si="5">14906+667</f>
        <v>15573</v>
      </c>
      <c r="G9" s="1032">
        <f t="shared" si="5"/>
        <v>15573</v>
      </c>
      <c r="H9" s="1032">
        <f t="shared" si="5"/>
        <v>15573</v>
      </c>
      <c r="I9" s="1032">
        <f t="shared" si="5"/>
        <v>15573</v>
      </c>
      <c r="J9" s="1032">
        <f t="shared" si="5"/>
        <v>15573</v>
      </c>
      <c r="K9" s="1032">
        <f t="shared" si="5"/>
        <v>15573</v>
      </c>
      <c r="L9" s="1032">
        <f t="shared" si="5"/>
        <v>15573</v>
      </c>
      <c r="M9" s="1032">
        <f t="shared" si="5"/>
        <v>15573</v>
      </c>
      <c r="N9" s="1032">
        <f t="shared" si="5"/>
        <v>15573</v>
      </c>
      <c r="O9" s="1032">
        <f>14906+667-8</f>
        <v>15565</v>
      </c>
      <c r="P9" s="407">
        <f t="shared" si="4"/>
        <v>186868</v>
      </c>
      <c r="Q9" s="844"/>
      <c r="R9" s="683">
        <f t="shared" si="2"/>
        <v>0</v>
      </c>
      <c r="S9" s="209">
        <f t="shared" si="3"/>
        <v>15572.333333333334</v>
      </c>
      <c r="T9" s="209">
        <f>+R9/12</f>
        <v>0</v>
      </c>
      <c r="V9" s="858" t="s">
        <v>1103</v>
      </c>
      <c r="W9" s="863">
        <v>5976</v>
      </c>
      <c r="X9" s="864"/>
      <c r="Y9" s="864"/>
      <c r="Z9" s="864">
        <v>5976</v>
      </c>
      <c r="AA9" s="865"/>
      <c r="AB9" s="873">
        <f>SUM(W9:AA9)</f>
        <v>11952</v>
      </c>
      <c r="AC9" s="862">
        <v>11952</v>
      </c>
    </row>
    <row r="10" spans="1:29">
      <c r="A10" s="410" t="s">
        <v>3</v>
      </c>
      <c r="B10" s="409" t="s">
        <v>530</v>
      </c>
      <c r="C10" s="406">
        <f>+'1.mell._Össz_Mérleg2020'!C44</f>
        <v>0</v>
      </c>
      <c r="D10" s="1031"/>
      <c r="E10" s="1032"/>
      <c r="F10" s="1032"/>
      <c r="G10" s="1032"/>
      <c r="H10" s="1032"/>
      <c r="I10" s="1032"/>
      <c r="J10" s="1032"/>
      <c r="K10" s="1032"/>
      <c r="L10" s="1032"/>
      <c r="M10" s="1032"/>
      <c r="N10" s="1032"/>
      <c r="O10" s="1033"/>
      <c r="P10" s="407">
        <f t="shared" si="4"/>
        <v>0</v>
      </c>
      <c r="Q10" s="844"/>
      <c r="R10" s="683">
        <f t="shared" si="2"/>
        <v>0</v>
      </c>
      <c r="S10" s="209">
        <f t="shared" si="3"/>
        <v>0</v>
      </c>
      <c r="V10" s="858" t="s">
        <v>963</v>
      </c>
      <c r="W10" s="863">
        <v>500</v>
      </c>
      <c r="X10" s="864">
        <v>100</v>
      </c>
      <c r="Y10" s="864">
        <v>0</v>
      </c>
      <c r="Z10" s="864">
        <v>500</v>
      </c>
      <c r="AA10" s="865">
        <v>100</v>
      </c>
      <c r="AB10" s="873">
        <f t="shared" si="0"/>
        <v>1200</v>
      </c>
      <c r="AC10" s="862">
        <v>1200</v>
      </c>
    </row>
    <row r="11" spans="1:29" ht="12.75" thickBot="1">
      <c r="A11" s="410" t="s">
        <v>16</v>
      </c>
      <c r="B11" s="409" t="s">
        <v>531</v>
      </c>
      <c r="C11" s="406">
        <f>+'1.mell._Össz_Mérleg2020'!C51</f>
        <v>32276</v>
      </c>
      <c r="D11" s="1031"/>
      <c r="E11" s="1032"/>
      <c r="F11" s="1032"/>
      <c r="G11" s="1032"/>
      <c r="H11" s="1032"/>
      <c r="I11" s="1032">
        <f>14988+1150</f>
        <v>16138</v>
      </c>
      <c r="J11" s="1032"/>
      <c r="K11" s="1032"/>
      <c r="L11" s="1032"/>
      <c r="M11" s="1032"/>
      <c r="N11" s="1032"/>
      <c r="O11" s="1032">
        <f>14989+1149</f>
        <v>16138</v>
      </c>
      <c r="P11" s="407">
        <f t="shared" si="4"/>
        <v>32276</v>
      </c>
      <c r="Q11" s="844"/>
      <c r="R11" s="683">
        <f t="shared" si="2"/>
        <v>0</v>
      </c>
      <c r="S11" s="209">
        <f t="shared" si="3"/>
        <v>2689.6666666666665</v>
      </c>
      <c r="V11" s="866" t="s">
        <v>18</v>
      </c>
      <c r="W11" s="867">
        <f>SUM(W4:W10)</f>
        <v>171976</v>
      </c>
      <c r="X11" s="868">
        <f>SUM(X4:X10)</f>
        <v>21600</v>
      </c>
      <c r="Y11" s="868">
        <f>SUM(Y4:Y10)</f>
        <v>75</v>
      </c>
      <c r="Z11" s="868">
        <f>SUM(Z4:Z10)</f>
        <v>162051</v>
      </c>
      <c r="AA11" s="869">
        <f>SUM(AA4:AA10)</f>
        <v>40100</v>
      </c>
      <c r="AB11" s="870">
        <f t="shared" si="0"/>
        <v>395802</v>
      </c>
      <c r="AC11" s="870">
        <f t="shared" si="0"/>
        <v>619628</v>
      </c>
    </row>
    <row r="12" spans="1:29">
      <c r="A12" s="410" t="s">
        <v>15</v>
      </c>
      <c r="B12" s="409" t="s">
        <v>532</v>
      </c>
      <c r="C12" s="406">
        <f>+'1.mell._Össz_Mérleg2020'!C58</f>
        <v>40350</v>
      </c>
      <c r="D12" s="1031">
        <v>29</v>
      </c>
      <c r="E12" s="1032">
        <v>29</v>
      </c>
      <c r="F12" s="1032">
        <f>7500+29+2500</f>
        <v>10029</v>
      </c>
      <c r="G12" s="1032">
        <v>29</v>
      </c>
      <c r="H12" s="1032">
        <v>29</v>
      </c>
      <c r="I12" s="1032">
        <f>7500+29+2500</f>
        <v>10029</v>
      </c>
      <c r="J12" s="1032">
        <v>29</v>
      </c>
      <c r="K12" s="1032">
        <v>29</v>
      </c>
      <c r="L12" s="1032">
        <f>7500+29+2500</f>
        <v>10029</v>
      </c>
      <c r="M12" s="1032">
        <v>29</v>
      </c>
      <c r="N12" s="1032">
        <v>29</v>
      </c>
      <c r="O12" s="1032">
        <f>7500+29+2500+2</f>
        <v>10031</v>
      </c>
      <c r="P12" s="407">
        <f t="shared" si="4"/>
        <v>40350</v>
      </c>
      <c r="Q12" s="844"/>
      <c r="R12" s="683">
        <f t="shared" si="2"/>
        <v>0</v>
      </c>
      <c r="S12" s="209">
        <f t="shared" si="3"/>
        <v>3362.5</v>
      </c>
      <c r="T12" s="209">
        <f>+R12/12</f>
        <v>0</v>
      </c>
      <c r="V12" s="857"/>
      <c r="W12" s="857"/>
      <c r="X12" s="857"/>
      <c r="Y12" s="857"/>
      <c r="Z12" s="857"/>
      <c r="AA12" s="857"/>
      <c r="AB12" s="857"/>
      <c r="AC12" s="862"/>
    </row>
    <row r="13" spans="1:29">
      <c r="A13" s="410" t="s">
        <v>14</v>
      </c>
      <c r="B13" s="409" t="s">
        <v>533</v>
      </c>
      <c r="C13" s="406">
        <f>+'1.mell._Össz_Mérleg2020'!C64</f>
        <v>1100</v>
      </c>
      <c r="D13" s="1031">
        <v>92</v>
      </c>
      <c r="E13" s="1032">
        <v>92</v>
      </c>
      <c r="F13" s="1032">
        <v>92</v>
      </c>
      <c r="G13" s="1032">
        <v>92</v>
      </c>
      <c r="H13" s="1032">
        <v>92</v>
      </c>
      <c r="I13" s="1032">
        <v>92</v>
      </c>
      <c r="J13" s="1032">
        <v>92</v>
      </c>
      <c r="K13" s="1032">
        <v>92</v>
      </c>
      <c r="L13" s="1032">
        <v>92</v>
      </c>
      <c r="M13" s="1032">
        <v>92</v>
      </c>
      <c r="N13" s="1032">
        <v>92</v>
      </c>
      <c r="O13" s="1032">
        <f>92-4</f>
        <v>88</v>
      </c>
      <c r="P13" s="407">
        <f t="shared" si="4"/>
        <v>1100</v>
      </c>
      <c r="Q13" s="844"/>
      <c r="R13" s="683">
        <f t="shared" si="2"/>
        <v>0</v>
      </c>
      <c r="S13" s="209">
        <f t="shared" si="3"/>
        <v>91.666666666666671</v>
      </c>
      <c r="T13" s="209">
        <f>+R13/12</f>
        <v>0</v>
      </c>
      <c r="V13" s="857"/>
      <c r="W13" s="857"/>
      <c r="X13" s="857"/>
      <c r="Y13" s="857"/>
      <c r="Z13" s="857"/>
      <c r="AA13" s="857"/>
      <c r="AB13" s="857"/>
      <c r="AC13" s="862"/>
    </row>
    <row r="14" spans="1:29">
      <c r="A14" s="410" t="s">
        <v>13</v>
      </c>
      <c r="B14" s="409" t="s">
        <v>534</v>
      </c>
      <c r="C14" s="406">
        <f>+'1.mell._Össz_Mérleg2020'!C72</f>
        <v>2876249</v>
      </c>
      <c r="D14" s="1031">
        <v>2876249</v>
      </c>
      <c r="E14" s="1032"/>
      <c r="F14" s="1032"/>
      <c r="G14" s="1032"/>
      <c r="H14" s="1032"/>
      <c r="I14" s="1032"/>
      <c r="J14" s="1032"/>
      <c r="K14" s="1032"/>
      <c r="L14" s="1032"/>
      <c r="M14" s="1032"/>
      <c r="N14" s="1032"/>
      <c r="O14" s="1033"/>
      <c r="P14" s="407">
        <f t="shared" si="4"/>
        <v>2876249</v>
      </c>
      <c r="Q14" s="844"/>
      <c r="R14" s="683">
        <f t="shared" si="2"/>
        <v>0</v>
      </c>
      <c r="S14" s="209">
        <f t="shared" si="3"/>
        <v>239687.41666666666</v>
      </c>
      <c r="V14" s="862"/>
      <c r="W14" s="862"/>
      <c r="X14" s="862"/>
      <c r="Y14" s="862"/>
      <c r="Z14" s="862"/>
      <c r="AA14" s="862"/>
      <c r="AB14" s="862"/>
      <c r="AC14" s="862"/>
    </row>
    <row r="15" spans="1:29" ht="12.75" thickBot="1">
      <c r="A15" s="410" t="s">
        <v>12</v>
      </c>
      <c r="B15" s="409" t="s">
        <v>535</v>
      </c>
      <c r="C15" s="406">
        <f>+'1.mell._Össz_Mérleg2020'!C87</f>
        <v>10000</v>
      </c>
      <c r="D15" s="1031"/>
      <c r="E15" s="1032"/>
      <c r="F15" s="1032"/>
      <c r="G15" s="1032"/>
      <c r="H15" s="1032"/>
      <c r="I15" s="1032"/>
      <c r="J15" s="1032"/>
      <c r="K15" s="1032"/>
      <c r="L15" s="1032">
        <v>10000</v>
      </c>
      <c r="M15" s="1032"/>
      <c r="N15" s="1032"/>
      <c r="O15" s="1033"/>
      <c r="P15" s="407">
        <f t="shared" si="4"/>
        <v>10000</v>
      </c>
      <c r="Q15" s="844"/>
      <c r="R15" s="683">
        <f t="shared" si="2"/>
        <v>0</v>
      </c>
      <c r="S15" s="209">
        <f t="shared" si="3"/>
        <v>833.33333333333337</v>
      </c>
      <c r="V15" s="862"/>
      <c r="W15" s="862"/>
      <c r="X15" s="862"/>
      <c r="Y15" s="862"/>
      <c r="Z15" s="862"/>
      <c r="AA15" s="862"/>
      <c r="AB15" s="862"/>
      <c r="AC15" s="862"/>
    </row>
    <row r="16" spans="1:29" ht="12.75" thickBot="1">
      <c r="A16" s="425" t="s">
        <v>11</v>
      </c>
      <c r="B16" s="420" t="s">
        <v>525</v>
      </c>
      <c r="C16" s="420">
        <f>SUM(C7:C15)</f>
        <v>4553174</v>
      </c>
      <c r="D16" s="427">
        <f t="shared" ref="D16:P16" si="6">SUM(D7:D15)</f>
        <v>2963718</v>
      </c>
      <c r="E16" s="428">
        <f t="shared" si="6"/>
        <v>87469</v>
      </c>
      <c r="F16" s="428">
        <f t="shared" si="6"/>
        <v>269445</v>
      </c>
      <c r="G16" s="428">
        <f t="shared" si="6"/>
        <v>87469</v>
      </c>
      <c r="H16" s="428">
        <f t="shared" si="6"/>
        <v>109069</v>
      </c>
      <c r="I16" s="428">
        <f t="shared" si="6"/>
        <v>188218</v>
      </c>
      <c r="J16" s="428">
        <f t="shared" si="6"/>
        <v>87544</v>
      </c>
      <c r="K16" s="428">
        <f t="shared" si="6"/>
        <v>87469</v>
      </c>
      <c r="L16" s="428">
        <f t="shared" si="6"/>
        <v>259520</v>
      </c>
      <c r="M16" s="428">
        <f t="shared" si="6"/>
        <v>87469</v>
      </c>
      <c r="N16" s="428">
        <f t="shared" si="6"/>
        <v>87469</v>
      </c>
      <c r="O16" s="420">
        <f t="shared" si="6"/>
        <v>238315</v>
      </c>
      <c r="P16" s="429">
        <f t="shared" si="6"/>
        <v>4553174</v>
      </c>
      <c r="Q16" s="844"/>
      <c r="R16" s="683">
        <f>+C16-P16</f>
        <v>0</v>
      </c>
      <c r="V16" s="862"/>
      <c r="W16" s="862"/>
      <c r="X16" s="862"/>
      <c r="Y16" s="862"/>
      <c r="Z16" s="862"/>
      <c r="AA16" s="862"/>
      <c r="AB16" s="862"/>
      <c r="AC16" s="862"/>
    </row>
    <row r="17" spans="1:29" ht="12.75" thickBot="1">
      <c r="A17" s="430"/>
      <c r="B17" s="1264" t="s">
        <v>526</v>
      </c>
      <c r="C17" s="1265"/>
      <c r="D17" s="1268"/>
      <c r="E17" s="1268"/>
      <c r="F17" s="1268"/>
      <c r="G17" s="1268"/>
      <c r="H17" s="1268"/>
      <c r="I17" s="1268"/>
      <c r="J17" s="1268"/>
      <c r="K17" s="1268"/>
      <c r="L17" s="1268"/>
      <c r="M17" s="1268"/>
      <c r="N17" s="1268"/>
      <c r="O17" s="1268"/>
      <c r="P17" s="1267"/>
      <c r="Q17" s="1152"/>
      <c r="V17" s="862"/>
      <c r="W17" s="862"/>
      <c r="X17" s="862"/>
      <c r="Y17" s="862"/>
      <c r="Z17" s="862"/>
      <c r="AA17" s="862"/>
      <c r="AB17" s="862"/>
      <c r="AC17" s="862"/>
    </row>
    <row r="18" spans="1:29">
      <c r="A18" s="414" t="s">
        <v>10</v>
      </c>
      <c r="B18" s="413" t="s">
        <v>445</v>
      </c>
      <c r="C18" s="412">
        <f>+'1.mell._Össz_Mérleg2020'!C110</f>
        <v>715534</v>
      </c>
      <c r="D18" s="1382">
        <f>61325-1698</f>
        <v>59627</v>
      </c>
      <c r="E18" s="1383">
        <f>61325-1698</f>
        <v>59627</v>
      </c>
      <c r="F18" s="1383">
        <f t="shared" ref="F18:O18" si="7">61325-1698</f>
        <v>59627</v>
      </c>
      <c r="G18" s="1383">
        <f t="shared" si="7"/>
        <v>59627</v>
      </c>
      <c r="H18" s="1383">
        <f t="shared" si="7"/>
        <v>59627</v>
      </c>
      <c r="I18" s="1383">
        <f t="shared" si="7"/>
        <v>59627</v>
      </c>
      <c r="J18" s="1383">
        <f t="shared" si="7"/>
        <v>59627</v>
      </c>
      <c r="K18" s="1383">
        <f t="shared" si="7"/>
        <v>59627</v>
      </c>
      <c r="L18" s="1383">
        <f t="shared" si="7"/>
        <v>59627</v>
      </c>
      <c r="M18" s="1383">
        <f t="shared" si="7"/>
        <v>59627</v>
      </c>
      <c r="N18" s="1383">
        <f t="shared" si="7"/>
        <v>59627</v>
      </c>
      <c r="O18" s="1383">
        <f>61325-1698+10</f>
        <v>59637</v>
      </c>
      <c r="P18" s="411">
        <f t="shared" ref="P18:P27" si="8">SUM(D18:O18)</f>
        <v>715534</v>
      </c>
      <c r="Q18" s="844"/>
      <c r="R18" s="683">
        <f>+C18-P18</f>
        <v>0</v>
      </c>
      <c r="S18" s="209">
        <f>+C18/12</f>
        <v>59627.833333333336</v>
      </c>
      <c r="T18" s="209">
        <f>+R18/12</f>
        <v>0</v>
      </c>
      <c r="W18" s="862"/>
      <c r="X18" s="862"/>
      <c r="Y18" s="862"/>
      <c r="Z18" s="862"/>
      <c r="AA18" s="862"/>
      <c r="AB18" s="862"/>
    </row>
    <row r="19" spans="1:29">
      <c r="A19" s="410" t="s">
        <v>9</v>
      </c>
      <c r="B19" s="409" t="s">
        <v>446</v>
      </c>
      <c r="C19" s="406">
        <f>+'1.mell._Össz_Mérleg2020'!C114</f>
        <v>130817</v>
      </c>
      <c r="D19" s="1031">
        <f>11179-278</f>
        <v>10901</v>
      </c>
      <c r="E19" s="1032">
        <f>11179-278</f>
        <v>10901</v>
      </c>
      <c r="F19" s="1032">
        <f t="shared" ref="F19:O19" si="9">11179-278</f>
        <v>10901</v>
      </c>
      <c r="G19" s="1032">
        <f t="shared" si="9"/>
        <v>10901</v>
      </c>
      <c r="H19" s="1032">
        <f t="shared" si="9"/>
        <v>10901</v>
      </c>
      <c r="I19" s="1032">
        <f t="shared" si="9"/>
        <v>10901</v>
      </c>
      <c r="J19" s="1032">
        <f t="shared" si="9"/>
        <v>10901</v>
      </c>
      <c r="K19" s="1032">
        <f t="shared" si="9"/>
        <v>10901</v>
      </c>
      <c r="L19" s="1032">
        <f t="shared" si="9"/>
        <v>10901</v>
      </c>
      <c r="M19" s="1032">
        <f t="shared" si="9"/>
        <v>10901</v>
      </c>
      <c r="N19" s="1032">
        <f t="shared" si="9"/>
        <v>10901</v>
      </c>
      <c r="O19" s="1032">
        <f>11179-278+5</f>
        <v>10906</v>
      </c>
      <c r="P19" s="407">
        <f t="shared" si="8"/>
        <v>130817</v>
      </c>
      <c r="Q19" s="844"/>
      <c r="R19" s="683">
        <f t="shared" ref="R19:R30" si="10">+C19-P19</f>
        <v>0</v>
      </c>
      <c r="S19" s="209">
        <f t="shared" ref="S19:S27" si="11">+C19/12</f>
        <v>10901.416666666666</v>
      </c>
      <c r="T19" s="209">
        <f>+R19/12</f>
        <v>0</v>
      </c>
    </row>
    <row r="20" spans="1:29">
      <c r="A20" s="410" t="s">
        <v>45</v>
      </c>
      <c r="B20" s="409" t="s">
        <v>447</v>
      </c>
      <c r="C20" s="406">
        <f>+'1.mell._Össz_Mérleg2020'!C116</f>
        <v>401997</v>
      </c>
      <c r="D20" s="1031">
        <f>35910-2410</f>
        <v>33500</v>
      </c>
      <c r="E20" s="1032">
        <f>35910-2410</f>
        <v>33500</v>
      </c>
      <c r="F20" s="1032">
        <f t="shared" ref="F20:O20" si="12">35910-2410</f>
        <v>33500</v>
      </c>
      <c r="G20" s="1032">
        <f t="shared" si="12"/>
        <v>33500</v>
      </c>
      <c r="H20" s="1032">
        <f t="shared" si="12"/>
        <v>33500</v>
      </c>
      <c r="I20" s="1032">
        <f t="shared" si="12"/>
        <v>33500</v>
      </c>
      <c r="J20" s="1032">
        <f t="shared" si="12"/>
        <v>33500</v>
      </c>
      <c r="K20" s="1032">
        <f t="shared" si="12"/>
        <v>33500</v>
      </c>
      <c r="L20" s="1032">
        <f t="shared" si="12"/>
        <v>33500</v>
      </c>
      <c r="M20" s="1032">
        <f t="shared" si="12"/>
        <v>33500</v>
      </c>
      <c r="N20" s="1032">
        <f t="shared" si="12"/>
        <v>33500</v>
      </c>
      <c r="O20" s="1032">
        <f>35910-2410-3</f>
        <v>33497</v>
      </c>
      <c r="P20" s="407">
        <f t="shared" si="8"/>
        <v>401997</v>
      </c>
      <c r="Q20" s="844"/>
      <c r="R20" s="683">
        <f t="shared" si="10"/>
        <v>0</v>
      </c>
      <c r="S20" s="209">
        <f t="shared" si="11"/>
        <v>33499.75</v>
      </c>
      <c r="T20" s="209">
        <f>+R20/12</f>
        <v>0</v>
      </c>
    </row>
    <row r="21" spans="1:29">
      <c r="A21" s="410" t="s">
        <v>44</v>
      </c>
      <c r="B21" s="409" t="s">
        <v>448</v>
      </c>
      <c r="C21" s="406">
        <f>+'1.mell._Össz_Mérleg2020'!C123</f>
        <v>52779</v>
      </c>
      <c r="D21" s="1031">
        <v>4398</v>
      </c>
      <c r="E21" s="1032">
        <v>4398</v>
      </c>
      <c r="F21" s="1032">
        <v>4398</v>
      </c>
      <c r="G21" s="1032">
        <v>4398</v>
      </c>
      <c r="H21" s="1032">
        <v>4398</v>
      </c>
      <c r="I21" s="1032">
        <v>4398</v>
      </c>
      <c r="J21" s="1032">
        <v>4398</v>
      </c>
      <c r="K21" s="1032">
        <v>4398</v>
      </c>
      <c r="L21" s="1032">
        <v>4398</v>
      </c>
      <c r="M21" s="1032">
        <v>4398</v>
      </c>
      <c r="N21" s="1032">
        <v>4398</v>
      </c>
      <c r="O21" s="1032">
        <f>4398+3</f>
        <v>4401</v>
      </c>
      <c r="P21" s="407">
        <f t="shared" si="8"/>
        <v>52779</v>
      </c>
      <c r="Q21" s="844"/>
      <c r="R21" s="683">
        <f t="shared" si="10"/>
        <v>0</v>
      </c>
      <c r="S21" s="209">
        <f t="shared" si="11"/>
        <v>4398.25</v>
      </c>
      <c r="T21" s="209">
        <f>+R21/12</f>
        <v>0</v>
      </c>
    </row>
    <row r="22" spans="1:29">
      <c r="A22" s="410" t="s">
        <v>43</v>
      </c>
      <c r="B22" s="409" t="s">
        <v>449</v>
      </c>
      <c r="C22" s="406">
        <f>+'1.mell._Össz_Mérleg2020'!C132</f>
        <v>2717621</v>
      </c>
      <c r="D22" s="1032"/>
      <c r="E22" s="1032"/>
      <c r="F22" s="1032">
        <f>677889+1516</f>
        <v>679405</v>
      </c>
      <c r="G22" s="1032"/>
      <c r="H22" s="1032"/>
      <c r="I22" s="1032">
        <f>677889+1516</f>
        <v>679405</v>
      </c>
      <c r="J22" s="1032"/>
      <c r="K22" s="1032"/>
      <c r="L22" s="1032">
        <f>677889+1516</f>
        <v>679405</v>
      </c>
      <c r="M22" s="1032"/>
      <c r="N22" s="1032"/>
      <c r="O22" s="1032">
        <f>677889+1517</f>
        <v>679406</v>
      </c>
      <c r="P22" s="407">
        <f t="shared" si="8"/>
        <v>2717621</v>
      </c>
      <c r="Q22" s="844"/>
      <c r="R22" s="683">
        <f t="shared" si="10"/>
        <v>0</v>
      </c>
      <c r="S22" s="209">
        <f t="shared" si="11"/>
        <v>226468.41666666666</v>
      </c>
      <c r="T22" s="209">
        <f>+R22/12</f>
        <v>0</v>
      </c>
      <c r="U22" s="209">
        <f>+R22/4</f>
        <v>0</v>
      </c>
    </row>
    <row r="23" spans="1:29">
      <c r="A23" s="410" t="s">
        <v>40</v>
      </c>
      <c r="B23" s="409" t="s">
        <v>450</v>
      </c>
      <c r="C23" s="406">
        <f>+'1.mell._Össz_Mérleg2020'!C150</f>
        <v>436722</v>
      </c>
      <c r="D23" s="1031"/>
      <c r="E23" s="1032"/>
      <c r="F23" s="1032">
        <f>110987-1806</f>
        <v>109181</v>
      </c>
      <c r="G23" s="1032"/>
      <c r="H23" s="1032"/>
      <c r="I23" s="1032">
        <f>110987-1806</f>
        <v>109181</v>
      </c>
      <c r="J23" s="1032"/>
      <c r="K23" s="1032"/>
      <c r="L23" s="1032">
        <f>110987-1806</f>
        <v>109181</v>
      </c>
      <c r="M23" s="1032"/>
      <c r="N23" s="1032"/>
      <c r="O23" s="1032">
        <f>110987-1-1807</f>
        <v>109179</v>
      </c>
      <c r="P23" s="407">
        <f t="shared" si="8"/>
        <v>436722</v>
      </c>
      <c r="Q23" s="844"/>
      <c r="R23" s="683">
        <f t="shared" si="10"/>
        <v>0</v>
      </c>
      <c r="S23" s="209">
        <f t="shared" si="11"/>
        <v>36393.5</v>
      </c>
      <c r="T23" s="209">
        <f>+R23/4</f>
        <v>0</v>
      </c>
    </row>
    <row r="24" spans="1:29">
      <c r="A24" s="410" t="s">
        <v>39</v>
      </c>
      <c r="B24" s="409" t="s">
        <v>451</v>
      </c>
      <c r="C24" s="406">
        <f>+'1.mell._Össz_Mérleg2020'!C159</f>
        <v>67258</v>
      </c>
      <c r="D24" s="1031"/>
      <c r="E24" s="1032"/>
      <c r="F24" s="1032">
        <v>16814</v>
      </c>
      <c r="G24" s="1032"/>
      <c r="H24" s="1032"/>
      <c r="I24" s="1032">
        <v>16814</v>
      </c>
      <c r="J24" s="1032"/>
      <c r="K24" s="1032"/>
      <c r="L24" s="1032">
        <v>16814</v>
      </c>
      <c r="M24" s="1032"/>
      <c r="N24" s="1032"/>
      <c r="O24" s="1032">
        <f>16814+2</f>
        <v>16816</v>
      </c>
      <c r="P24" s="407">
        <f t="shared" si="8"/>
        <v>67258</v>
      </c>
      <c r="Q24" s="844"/>
      <c r="R24" s="683">
        <f t="shared" si="10"/>
        <v>0</v>
      </c>
      <c r="S24" s="209">
        <f t="shared" si="11"/>
        <v>5604.833333333333</v>
      </c>
      <c r="T24" s="209">
        <f>+R24/4</f>
        <v>0</v>
      </c>
    </row>
    <row r="25" spans="1:29">
      <c r="A25" s="410" t="s">
        <v>38</v>
      </c>
      <c r="B25" s="409" t="s">
        <v>452</v>
      </c>
      <c r="C25" s="406">
        <f>+'1.mell._Össz_Mérleg2020'!C165</f>
        <v>0</v>
      </c>
      <c r="D25" s="1031"/>
      <c r="E25" s="1032"/>
      <c r="F25" s="1032"/>
      <c r="G25" s="1032"/>
      <c r="H25" s="1032"/>
      <c r="I25" s="1032"/>
      <c r="J25" s="1032"/>
      <c r="K25" s="1032"/>
      <c r="L25" s="1032"/>
      <c r="M25" s="1032"/>
      <c r="N25" s="1032"/>
      <c r="O25" s="1033"/>
      <c r="P25" s="407">
        <f t="shared" si="8"/>
        <v>0</v>
      </c>
      <c r="Q25" s="844"/>
      <c r="R25" s="683">
        <f t="shared" si="10"/>
        <v>0</v>
      </c>
      <c r="S25" s="209">
        <f t="shared" si="11"/>
        <v>0</v>
      </c>
    </row>
    <row r="26" spans="1:29">
      <c r="A26" s="410" t="s">
        <v>36</v>
      </c>
      <c r="B26" s="409" t="s">
        <v>536</v>
      </c>
      <c r="C26" s="406">
        <f>+'1.mell._Össz_Mérleg2020'!C178</f>
        <v>30446</v>
      </c>
      <c r="D26" s="1031">
        <v>30446</v>
      </c>
      <c r="E26" s="1032"/>
      <c r="F26" s="1032"/>
      <c r="G26" s="1032"/>
      <c r="H26" s="1032"/>
      <c r="I26" s="1032"/>
      <c r="J26" s="1032"/>
      <c r="K26" s="1032"/>
      <c r="L26" s="1032"/>
      <c r="M26" s="1032"/>
      <c r="N26" s="1032"/>
      <c r="O26" s="1033"/>
      <c r="P26" s="407">
        <f t="shared" si="8"/>
        <v>30446</v>
      </c>
      <c r="Q26" s="844"/>
      <c r="R26" s="683">
        <f t="shared" si="10"/>
        <v>0</v>
      </c>
      <c r="S26" s="209">
        <f t="shared" si="11"/>
        <v>2537.1666666666665</v>
      </c>
    </row>
    <row r="27" spans="1:29" ht="12.75" thickBot="1">
      <c r="A27" s="440" t="s">
        <v>35</v>
      </c>
      <c r="B27" s="441" t="s">
        <v>537</v>
      </c>
      <c r="C27" s="405">
        <f>+'1.mell._Össz_Mérleg2020'!C193</f>
        <v>0</v>
      </c>
      <c r="D27" s="1384"/>
      <c r="E27" s="1385"/>
      <c r="F27" s="1385"/>
      <c r="G27" s="1385"/>
      <c r="H27" s="1385"/>
      <c r="I27" s="1385"/>
      <c r="J27" s="1385"/>
      <c r="K27" s="1385"/>
      <c r="L27" s="1385"/>
      <c r="M27" s="1385"/>
      <c r="N27" s="1385"/>
      <c r="O27" s="1386"/>
      <c r="P27" s="874">
        <f t="shared" si="8"/>
        <v>0</v>
      </c>
      <c r="Q27" s="844"/>
      <c r="R27" s="683">
        <f t="shared" si="10"/>
        <v>0</v>
      </c>
      <c r="S27" s="209">
        <f t="shared" si="11"/>
        <v>0</v>
      </c>
    </row>
    <row r="28" spans="1:29" ht="12.75" thickBot="1">
      <c r="A28" s="425" t="s">
        <v>34</v>
      </c>
      <c r="B28" s="420" t="s">
        <v>527</v>
      </c>
      <c r="C28" s="420">
        <f>SUM(C18:C27)</f>
        <v>4553174</v>
      </c>
      <c r="D28" s="428">
        <f t="shared" ref="D28:P28" si="13">SUM(D18:D27)</f>
        <v>138872</v>
      </c>
      <c r="E28" s="428">
        <f t="shared" si="13"/>
        <v>108426</v>
      </c>
      <c r="F28" s="428">
        <f t="shared" si="13"/>
        <v>913826</v>
      </c>
      <c r="G28" s="428">
        <f t="shared" si="13"/>
        <v>108426</v>
      </c>
      <c r="H28" s="428">
        <f t="shared" si="13"/>
        <v>108426</v>
      </c>
      <c r="I28" s="428">
        <f t="shared" si="13"/>
        <v>913826</v>
      </c>
      <c r="J28" s="428">
        <f t="shared" si="13"/>
        <v>108426</v>
      </c>
      <c r="K28" s="428">
        <f t="shared" si="13"/>
        <v>108426</v>
      </c>
      <c r="L28" s="428">
        <f t="shared" si="13"/>
        <v>913826</v>
      </c>
      <c r="M28" s="428">
        <f t="shared" si="13"/>
        <v>108426</v>
      </c>
      <c r="N28" s="428">
        <f t="shared" si="13"/>
        <v>108426</v>
      </c>
      <c r="O28" s="426">
        <f t="shared" si="13"/>
        <v>913842</v>
      </c>
      <c r="P28" s="431">
        <f t="shared" si="13"/>
        <v>4553174</v>
      </c>
      <c r="Q28" s="844"/>
      <c r="R28" s="683">
        <f t="shared" si="10"/>
        <v>0</v>
      </c>
    </row>
    <row r="29" spans="1:29" ht="12.75" thickBot="1">
      <c r="A29" s="432" t="s">
        <v>33</v>
      </c>
      <c r="B29" s="421" t="s">
        <v>538</v>
      </c>
      <c r="C29" s="434">
        <f>+C16-C28</f>
        <v>0</v>
      </c>
      <c r="D29" s="435">
        <f t="shared" ref="D29:P29" si="14">+D16-D28</f>
        <v>2824846</v>
      </c>
      <c r="E29" s="435">
        <f t="shared" si="14"/>
        <v>-20957</v>
      </c>
      <c r="F29" s="435">
        <f t="shared" si="14"/>
        <v>-644381</v>
      </c>
      <c r="G29" s="435">
        <f t="shared" si="14"/>
        <v>-20957</v>
      </c>
      <c r="H29" s="435">
        <f t="shared" si="14"/>
        <v>643</v>
      </c>
      <c r="I29" s="435">
        <f t="shared" si="14"/>
        <v>-725608</v>
      </c>
      <c r="J29" s="435">
        <f t="shared" si="14"/>
        <v>-20882</v>
      </c>
      <c r="K29" s="435">
        <f t="shared" si="14"/>
        <v>-20957</v>
      </c>
      <c r="L29" s="435">
        <f t="shared" si="14"/>
        <v>-654306</v>
      </c>
      <c r="M29" s="435">
        <f t="shared" si="14"/>
        <v>-20957</v>
      </c>
      <c r="N29" s="435">
        <f t="shared" si="14"/>
        <v>-20957</v>
      </c>
      <c r="O29" s="433">
        <f t="shared" si="14"/>
        <v>-675527</v>
      </c>
      <c r="P29" s="436">
        <f t="shared" si="14"/>
        <v>0</v>
      </c>
      <c r="Q29" s="845"/>
      <c r="R29" s="683">
        <f t="shared" si="10"/>
        <v>0</v>
      </c>
    </row>
    <row r="30" spans="1:29" ht="12.75" thickBot="1">
      <c r="A30" s="432" t="s">
        <v>32</v>
      </c>
      <c r="B30" s="421" t="s">
        <v>539</v>
      </c>
      <c r="C30" s="434">
        <f>+C29</f>
        <v>0</v>
      </c>
      <c r="D30" s="435">
        <f>+D29</f>
        <v>2824846</v>
      </c>
      <c r="E30" s="435">
        <f>+D30+E29</f>
        <v>2803889</v>
      </c>
      <c r="F30" s="435">
        <f t="shared" ref="F30:O30" si="15">+E30+F29</f>
        <v>2159508</v>
      </c>
      <c r="G30" s="435">
        <f t="shared" si="15"/>
        <v>2138551</v>
      </c>
      <c r="H30" s="435">
        <f t="shared" si="15"/>
        <v>2139194</v>
      </c>
      <c r="I30" s="435">
        <f t="shared" si="15"/>
        <v>1413586</v>
      </c>
      <c r="J30" s="435">
        <f t="shared" si="15"/>
        <v>1392704</v>
      </c>
      <c r="K30" s="435">
        <f t="shared" si="15"/>
        <v>1371747</v>
      </c>
      <c r="L30" s="435">
        <f t="shared" si="15"/>
        <v>717441</v>
      </c>
      <c r="M30" s="435">
        <f t="shared" si="15"/>
        <v>696484</v>
      </c>
      <c r="N30" s="435">
        <f t="shared" si="15"/>
        <v>675527</v>
      </c>
      <c r="O30" s="433">
        <f t="shared" si="15"/>
        <v>0</v>
      </c>
      <c r="P30" s="436">
        <f>+P29</f>
        <v>0</v>
      </c>
      <c r="Q30" s="845"/>
      <c r="R30" s="683">
        <f t="shared" si="10"/>
        <v>0</v>
      </c>
    </row>
    <row r="31" spans="1:29">
      <c r="A31" s="171"/>
      <c r="B31" s="171"/>
      <c r="C31" s="171"/>
      <c r="D31" s="437"/>
      <c r="E31" s="437"/>
      <c r="F31" s="437"/>
      <c r="G31" s="437"/>
      <c r="H31" s="437"/>
      <c r="I31" s="437"/>
      <c r="J31" s="437"/>
      <c r="K31" s="437"/>
      <c r="L31" s="437"/>
      <c r="M31" s="437"/>
      <c r="N31" s="437"/>
      <c r="O31" s="437"/>
      <c r="P31" s="171"/>
      <c r="Q31" s="171"/>
    </row>
    <row r="32" spans="1:29">
      <c r="A32" s="171"/>
      <c r="B32" s="171"/>
      <c r="C32" s="171"/>
      <c r="D32" s="171"/>
      <c r="E32" s="171"/>
      <c r="F32" s="171"/>
      <c r="G32" s="171"/>
      <c r="H32" s="171"/>
      <c r="I32" s="171"/>
      <c r="J32" s="171"/>
      <c r="K32" s="438"/>
      <c r="L32" s="438"/>
      <c r="M32" s="171"/>
      <c r="N32" s="171"/>
      <c r="O32" s="171"/>
      <c r="P32" s="171"/>
      <c r="Q32" s="171"/>
    </row>
    <row r="33" spans="1:17">
      <c r="A33" s="171"/>
      <c r="B33" s="171"/>
      <c r="C33" s="171"/>
      <c r="D33" s="171"/>
      <c r="E33" s="171"/>
      <c r="F33" s="171"/>
      <c r="G33" s="171"/>
      <c r="H33" s="171"/>
      <c r="I33" s="171"/>
      <c r="J33" s="171"/>
      <c r="K33" s="438"/>
      <c r="L33" s="438"/>
      <c r="M33" s="171"/>
      <c r="N33" s="171"/>
      <c r="O33" s="171"/>
      <c r="P33" s="171"/>
      <c r="Q33" s="171"/>
    </row>
    <row r="34" spans="1:17">
      <c r="A34" s="171"/>
      <c r="B34" s="171"/>
      <c r="C34" s="171"/>
      <c r="D34" s="171"/>
      <c r="E34" s="171"/>
      <c r="F34" s="171"/>
      <c r="G34" s="171"/>
      <c r="H34" s="171"/>
      <c r="I34" s="171"/>
      <c r="J34" s="171"/>
      <c r="K34" s="438"/>
      <c r="L34" s="438"/>
      <c r="M34" s="171"/>
      <c r="N34" s="171"/>
      <c r="O34" s="171"/>
      <c r="P34" s="171"/>
      <c r="Q34" s="171"/>
    </row>
    <row r="35" spans="1:17">
      <c r="A35" s="171"/>
      <c r="B35" s="171"/>
      <c r="C35" s="171"/>
      <c r="D35" s="171"/>
      <c r="E35" s="171"/>
      <c r="F35" s="171"/>
      <c r="G35" s="171"/>
      <c r="H35" s="171"/>
      <c r="I35" s="171"/>
      <c r="J35" s="171"/>
      <c r="K35" s="438"/>
      <c r="L35" s="438"/>
      <c r="M35" s="171"/>
      <c r="N35" s="171"/>
      <c r="O35" s="171"/>
      <c r="P35" s="171"/>
      <c r="Q35" s="171"/>
    </row>
    <row r="36" spans="1:17">
      <c r="A36" s="171"/>
      <c r="B36" s="171"/>
      <c r="C36" s="171"/>
      <c r="D36" s="171"/>
      <c r="E36" s="171"/>
      <c r="F36" s="171"/>
      <c r="G36" s="171"/>
      <c r="H36" s="171"/>
      <c r="I36" s="171"/>
      <c r="J36" s="171"/>
      <c r="K36" s="438"/>
      <c r="L36" s="438"/>
      <c r="M36" s="171"/>
      <c r="N36" s="171"/>
      <c r="O36" s="171"/>
      <c r="P36" s="171"/>
      <c r="Q36" s="171"/>
    </row>
    <row r="37" spans="1:17">
      <c r="A37" s="171"/>
      <c r="B37" s="171"/>
      <c r="C37" s="171"/>
      <c r="D37" s="171"/>
      <c r="E37" s="171"/>
      <c r="F37" s="171"/>
      <c r="G37" s="171"/>
      <c r="H37" s="171"/>
      <c r="I37" s="171"/>
      <c r="J37" s="171"/>
      <c r="K37" s="438"/>
      <c r="L37" s="438"/>
      <c r="M37" s="171"/>
      <c r="N37" s="171"/>
      <c r="O37" s="171"/>
      <c r="P37" s="171"/>
      <c r="Q37" s="171"/>
    </row>
    <row r="38" spans="1:17">
      <c r="D38" s="171"/>
      <c r="E38" s="171"/>
      <c r="F38" s="171"/>
      <c r="G38" s="171"/>
      <c r="H38" s="171"/>
      <c r="I38" s="171"/>
      <c r="J38" s="171"/>
      <c r="K38" s="438"/>
      <c r="L38" s="438"/>
    </row>
    <row r="39" spans="1:17">
      <c r="D39" s="437"/>
      <c r="E39" s="437"/>
      <c r="F39" s="437"/>
      <c r="G39" s="437"/>
      <c r="H39" s="437"/>
      <c r="I39" s="437"/>
      <c r="J39" s="437"/>
      <c r="K39" s="438"/>
      <c r="L39" s="438"/>
    </row>
  </sheetData>
  <mergeCells count="3">
    <mergeCell ref="A3:P3"/>
    <mergeCell ref="B6:P6"/>
    <mergeCell ref="B17:P17"/>
  </mergeCells>
  <printOptions horizontalCentered="1"/>
  <pageMargins left="0.39370078740157483" right="0.39370078740157483" top="0.39370078740157483" bottom="0.39370078740157483" header="0.19685039370078741" footer="0.19685039370078741"/>
  <pageSetup scale="69" orientation="landscape" horizontalDpi="200" verticalDpi="200" r:id="rId1"/>
  <colBreaks count="1" manualBreakCount="1">
    <brk id="16" max="29" man="1"/>
  </colBreaks>
</worksheet>
</file>

<file path=xl/worksheets/sheet18.xml><?xml version="1.0" encoding="utf-8"?>
<worksheet xmlns="http://schemas.openxmlformats.org/spreadsheetml/2006/main" xmlns:r="http://schemas.openxmlformats.org/officeDocument/2006/relationships">
  <sheetPr codeName="Munka22">
    <tabColor rgb="FF00B0F0"/>
  </sheetPr>
  <dimension ref="A1:AB264"/>
  <sheetViews>
    <sheetView zoomScaleNormal="100" workbookViewId="0"/>
  </sheetViews>
  <sheetFormatPr defaultColWidth="9.140625" defaultRowHeight="12"/>
  <cols>
    <col min="1" max="1" width="6.5703125" style="4" customWidth="1"/>
    <col min="2" max="2" width="109.5703125" style="4" bestFit="1" customWidth="1"/>
    <col min="3" max="5" width="9.28515625" style="4" customWidth="1"/>
    <col min="6" max="6" width="9.140625" style="4"/>
    <col min="7" max="9" width="0" style="4" hidden="1" customWidth="1"/>
    <col min="10" max="16384" width="9.140625" style="4"/>
  </cols>
  <sheetData>
    <row r="1" spans="1:28" s="63" customFormat="1" ht="15.75">
      <c r="E1" s="64" t="s">
        <v>428</v>
      </c>
    </row>
    <row r="2" spans="1:28" s="63" customFormat="1" ht="15.75"/>
    <row r="3" spans="1:28" s="65" customFormat="1" ht="15.75">
      <c r="A3" s="1210" t="s">
        <v>330</v>
      </c>
      <c r="B3" s="1210"/>
      <c r="C3" s="1210"/>
      <c r="D3" s="1210"/>
      <c r="E3" s="1210"/>
    </row>
    <row r="4" spans="1:28" s="65" customFormat="1" ht="15.75">
      <c r="A4" s="1210" t="s">
        <v>1443</v>
      </c>
      <c r="B4" s="1210"/>
      <c r="C4" s="1210"/>
      <c r="D4" s="1210"/>
      <c r="E4" s="1210"/>
    </row>
    <row r="5" spans="1:28" s="63" customFormat="1" ht="15.75">
      <c r="A5" s="1269" t="s">
        <v>540</v>
      </c>
      <c r="B5" s="1269"/>
      <c r="C5" s="1269"/>
      <c r="D5" s="1269"/>
      <c r="E5" s="1269"/>
      <c r="F5" s="468"/>
      <c r="G5" s="909"/>
      <c r="H5" s="909"/>
      <c r="I5" s="909"/>
      <c r="J5" s="909"/>
      <c r="K5" s="909"/>
      <c r="L5" s="909"/>
      <c r="M5" s="909"/>
      <c r="N5" s="909"/>
      <c r="O5" s="909"/>
      <c r="P5" s="909"/>
      <c r="Q5" s="909"/>
      <c r="R5" s="909"/>
      <c r="S5" s="909"/>
      <c r="T5" s="909"/>
      <c r="U5" s="909"/>
      <c r="V5" s="909"/>
      <c r="W5" s="909"/>
      <c r="X5" s="909"/>
      <c r="Y5" s="909"/>
      <c r="Z5" s="909"/>
      <c r="AA5" s="909"/>
      <c r="AB5" s="909"/>
    </row>
    <row r="6" spans="1:28" s="65" customFormat="1" ht="15.75">
      <c r="A6" s="1210" t="s">
        <v>48</v>
      </c>
      <c r="B6" s="1210"/>
      <c r="C6" s="1210"/>
      <c r="D6" s="1210"/>
      <c r="E6" s="1210"/>
    </row>
    <row r="7" spans="1:28" s="46" customFormat="1" ht="12.75" thickBot="1">
      <c r="A7" s="48" t="s">
        <v>279</v>
      </c>
      <c r="E7" s="47" t="s">
        <v>280</v>
      </c>
    </row>
    <row r="8" spans="1:28" s="9" customFormat="1" ht="54" customHeight="1" thickBot="1">
      <c r="A8" s="95" t="s">
        <v>17</v>
      </c>
      <c r="B8" s="96" t="s">
        <v>327</v>
      </c>
      <c r="C8" s="467" t="s">
        <v>1459</v>
      </c>
      <c r="D8" s="8" t="s">
        <v>1458</v>
      </c>
      <c r="E8" s="5" t="s">
        <v>1442</v>
      </c>
    </row>
    <row r="9" spans="1:28" s="3" customFormat="1" ht="12.75" thickBot="1">
      <c r="A9" s="99" t="s">
        <v>252</v>
      </c>
      <c r="B9" s="972" t="s">
        <v>253</v>
      </c>
      <c r="C9" s="1144" t="s">
        <v>254</v>
      </c>
      <c r="D9" s="1143" t="s">
        <v>360</v>
      </c>
      <c r="E9" s="1145" t="s">
        <v>361</v>
      </c>
    </row>
    <row r="10" spans="1:28" s="3" customFormat="1" ht="12.75" thickBot="1">
      <c r="A10" s="111" t="s">
        <v>4</v>
      </c>
      <c r="B10" s="79" t="s">
        <v>296</v>
      </c>
      <c r="C10" s="470">
        <f>+C11+C25+C32+C44</f>
        <v>2076943</v>
      </c>
      <c r="D10" s="158">
        <f>+D11+D25+D32+D44</f>
        <v>2037974</v>
      </c>
      <c r="E10" s="471">
        <f>+E11+E25+E32+E44</f>
        <v>1593199</v>
      </c>
    </row>
    <row r="11" spans="1:28" s="3" customFormat="1" ht="12.75" customHeight="1" thickBot="1">
      <c r="A11" s="99" t="s">
        <v>5</v>
      </c>
      <c r="B11" s="80" t="s">
        <v>297</v>
      </c>
      <c r="C11" s="157">
        <f>+C12+C19+C20+C21+C22+C23</f>
        <v>1592229</v>
      </c>
      <c r="D11" s="35">
        <f>+D12+D19+D20+D21+D22+D23</f>
        <v>1466167</v>
      </c>
      <c r="E11" s="466">
        <f>+E12+E19+E20+E21+E22+E23</f>
        <v>992226</v>
      </c>
    </row>
    <row r="12" spans="1:28" s="3" customFormat="1">
      <c r="A12" s="100" t="s">
        <v>54</v>
      </c>
      <c r="B12" s="81" t="s">
        <v>298</v>
      </c>
      <c r="C12" s="457">
        <f>+C13+C14+C15+C16+C17+C18</f>
        <v>789695</v>
      </c>
      <c r="D12" s="42">
        <f>+D13+D14+D15+D16+D17+D18</f>
        <v>907273</v>
      </c>
      <c r="E12" s="464">
        <f>+E13+E14+E15+E16+E17+E18</f>
        <v>917056</v>
      </c>
    </row>
    <row r="13" spans="1:28" s="14" customFormat="1">
      <c r="A13" s="102" t="s">
        <v>189</v>
      </c>
      <c r="B13" s="82" t="s">
        <v>93</v>
      </c>
      <c r="C13" s="453">
        <v>231822</v>
      </c>
      <c r="D13" s="16">
        <v>226970</v>
      </c>
      <c r="E13" s="460">
        <f>+'1.mell._Össz_Mérleg2020'!C13</f>
        <v>221585</v>
      </c>
      <c r="F13" s="3"/>
      <c r="G13" s="3"/>
    </row>
    <row r="14" spans="1:28" s="14" customFormat="1">
      <c r="A14" s="102" t="s">
        <v>190</v>
      </c>
      <c r="B14" s="82" t="s">
        <v>94</v>
      </c>
      <c r="C14" s="453">
        <v>223149</v>
      </c>
      <c r="D14" s="16">
        <v>236248</v>
      </c>
      <c r="E14" s="460">
        <f>+'1.mell._Össz_Mérleg2020'!C14</f>
        <v>238516</v>
      </c>
      <c r="F14" s="3"/>
      <c r="G14" s="3"/>
    </row>
    <row r="15" spans="1:28" s="14" customFormat="1">
      <c r="A15" s="102" t="s">
        <v>191</v>
      </c>
      <c r="B15" s="82" t="s">
        <v>95</v>
      </c>
      <c r="C15" s="453">
        <v>254533</v>
      </c>
      <c r="D15" s="16">
        <v>297362</v>
      </c>
      <c r="E15" s="460">
        <f>+'1.mell._Össz_Mérleg2020'!C15</f>
        <v>287846</v>
      </c>
      <c r="F15" s="3"/>
      <c r="G15" s="3"/>
    </row>
    <row r="16" spans="1:28" s="14" customFormat="1">
      <c r="A16" s="102" t="s">
        <v>192</v>
      </c>
      <c r="B16" s="82" t="s">
        <v>96</v>
      </c>
      <c r="C16" s="453">
        <v>21839</v>
      </c>
      <c r="D16" s="16">
        <v>22593</v>
      </c>
      <c r="E16" s="460">
        <f>+'1.mell._Össz_Mérleg2020'!C16</f>
        <v>13207</v>
      </c>
      <c r="F16" s="3"/>
      <c r="G16" s="3"/>
    </row>
    <row r="17" spans="1:7" s="14" customFormat="1">
      <c r="A17" s="102" t="s">
        <v>193</v>
      </c>
      <c r="B17" s="82" t="s">
        <v>895</v>
      </c>
      <c r="C17" s="453">
        <v>58352</v>
      </c>
      <c r="D17" s="16">
        <f>124099+1</f>
        <v>124100</v>
      </c>
      <c r="E17" s="460">
        <f>+'1.mell._Össz_Mérleg2020'!C17</f>
        <v>155902</v>
      </c>
      <c r="F17" s="3"/>
      <c r="G17" s="3"/>
    </row>
    <row r="18" spans="1:7" s="14" customFormat="1">
      <c r="A18" s="102" t="s">
        <v>194</v>
      </c>
      <c r="B18" s="82" t="s">
        <v>896</v>
      </c>
      <c r="C18" s="453"/>
      <c r="D18" s="16"/>
      <c r="E18" s="460">
        <f>+'1.mell._Össz_Mérleg2020'!C18</f>
        <v>0</v>
      </c>
      <c r="F18" s="3"/>
      <c r="G18" s="3"/>
    </row>
    <row r="19" spans="1:7">
      <c r="A19" s="101" t="s">
        <v>55</v>
      </c>
      <c r="B19" s="83" t="s">
        <v>97</v>
      </c>
      <c r="C19" s="455">
        <v>1543</v>
      </c>
      <c r="D19" s="17">
        <v>3007</v>
      </c>
      <c r="E19" s="462">
        <f>+'1.mell._Össz_Mérleg2020'!C19</f>
        <v>8014</v>
      </c>
      <c r="F19" s="3"/>
      <c r="G19" s="3"/>
    </row>
    <row r="20" spans="1:7">
      <c r="A20" s="101" t="s">
        <v>83</v>
      </c>
      <c r="B20" s="83" t="s">
        <v>98</v>
      </c>
      <c r="C20" s="455"/>
      <c r="D20" s="17"/>
      <c r="E20" s="462">
        <f>+'1.mell._Össz_Mérleg2020'!C20</f>
        <v>0</v>
      </c>
      <c r="F20" s="3"/>
      <c r="G20" s="3"/>
    </row>
    <row r="21" spans="1:7">
      <c r="A21" s="101" t="s">
        <v>84</v>
      </c>
      <c r="B21" s="83" t="s">
        <v>99</v>
      </c>
      <c r="C21" s="455"/>
      <c r="D21" s="17"/>
      <c r="E21" s="462">
        <f>+'1.mell._Össz_Mérleg2020'!C21</f>
        <v>0</v>
      </c>
      <c r="F21" s="3"/>
      <c r="G21" s="3"/>
    </row>
    <row r="22" spans="1:7">
      <c r="A22" s="101" t="s">
        <v>85</v>
      </c>
      <c r="B22" s="83" t="s">
        <v>100</v>
      </c>
      <c r="C22" s="455"/>
      <c r="D22" s="17"/>
      <c r="E22" s="462">
        <f>+'1.mell._Össz_Mérleg2020'!C22</f>
        <v>0</v>
      </c>
      <c r="F22" s="3"/>
      <c r="G22" s="3"/>
    </row>
    <row r="23" spans="1:7">
      <c r="A23" s="94" t="s">
        <v>86</v>
      </c>
      <c r="B23" s="84" t="s">
        <v>101</v>
      </c>
      <c r="C23" s="456">
        <v>800991</v>
      </c>
      <c r="D23" s="29">
        <v>555887</v>
      </c>
      <c r="E23" s="463">
        <f>+'1.mell._Össz_Mérleg2020'!C23</f>
        <v>67156</v>
      </c>
      <c r="F23" s="3"/>
      <c r="G23" s="3"/>
    </row>
    <row r="24" spans="1:7" s="14" customFormat="1" ht="12.75" thickBot="1">
      <c r="A24" s="105" t="s">
        <v>331</v>
      </c>
      <c r="B24" s="894" t="s">
        <v>332</v>
      </c>
      <c r="C24" s="1387">
        <v>564550</v>
      </c>
      <c r="D24" s="1388"/>
      <c r="E24" s="461">
        <f>+'1.mell._Össz_Mérleg2020'!C24</f>
        <v>0</v>
      </c>
      <c r="F24" s="3"/>
      <c r="G24" s="3"/>
    </row>
    <row r="25" spans="1:7" s="3" customFormat="1" ht="12.75" customHeight="1" thickBot="1">
      <c r="A25" s="99" t="s">
        <v>6</v>
      </c>
      <c r="B25" s="80" t="s">
        <v>778</v>
      </c>
      <c r="C25" s="470">
        <f>+C26+C27+C28+C29+C30+C31</f>
        <v>356668</v>
      </c>
      <c r="D25" s="158">
        <f>+D26+D27+D28+D29+D30+D31</f>
        <v>394432</v>
      </c>
      <c r="E25" s="690">
        <f>+E26+E27+E28+E29+E30+E31</f>
        <v>414105</v>
      </c>
    </row>
    <row r="26" spans="1:7" ht="12.75" customHeight="1">
      <c r="A26" s="100" t="s">
        <v>58</v>
      </c>
      <c r="B26" s="81" t="s">
        <v>102</v>
      </c>
      <c r="C26" s="1389">
        <v>62</v>
      </c>
      <c r="D26" s="61">
        <v>58</v>
      </c>
      <c r="E26" s="1001">
        <f>+'1.mell._Össz_Mérleg2020'!C26</f>
        <v>50</v>
      </c>
      <c r="F26" s="3"/>
      <c r="G26" s="3"/>
    </row>
    <row r="27" spans="1:7" ht="12.75" customHeight="1">
      <c r="A27" s="101" t="s">
        <v>59</v>
      </c>
      <c r="B27" s="83" t="s">
        <v>103</v>
      </c>
      <c r="C27" s="455"/>
      <c r="D27" s="17"/>
      <c r="E27" s="462">
        <f>+'1.mell._Össz_Mérleg2020'!C27</f>
        <v>0</v>
      </c>
      <c r="F27" s="3"/>
      <c r="G27" s="3"/>
    </row>
    <row r="28" spans="1:7" ht="12.75" customHeight="1">
      <c r="A28" s="101" t="s">
        <v>60</v>
      </c>
      <c r="B28" s="83" t="s">
        <v>104</v>
      </c>
      <c r="C28" s="455"/>
      <c r="D28" s="17"/>
      <c r="E28" s="462">
        <f>+'1.mell._Össz_Mérleg2020'!C28</f>
        <v>0</v>
      </c>
      <c r="F28" s="3"/>
      <c r="G28" s="3"/>
    </row>
    <row r="29" spans="1:7" ht="12.75" customHeight="1">
      <c r="A29" s="101" t="s">
        <v>179</v>
      </c>
      <c r="B29" s="83" t="s">
        <v>105</v>
      </c>
      <c r="C29" s="455">
        <v>60575</v>
      </c>
      <c r="D29" s="17">
        <v>63970</v>
      </c>
      <c r="E29" s="462">
        <f>+'1.mell._Össz_Mérleg2020'!C29</f>
        <v>66952</v>
      </c>
      <c r="F29" s="3"/>
      <c r="G29" s="3"/>
    </row>
    <row r="30" spans="1:7" ht="12.75" customHeight="1">
      <c r="A30" s="94" t="s">
        <v>180</v>
      </c>
      <c r="B30" s="84" t="s">
        <v>106</v>
      </c>
      <c r="C30" s="455">
        <v>290084</v>
      </c>
      <c r="D30" s="17">
        <v>326696</v>
      </c>
      <c r="E30" s="462">
        <f>+'1.mell._Össz_Mérleg2020'!C30</f>
        <v>328350</v>
      </c>
      <c r="F30" s="3"/>
      <c r="G30" s="3"/>
    </row>
    <row r="31" spans="1:7" ht="12.75" customHeight="1" thickBot="1">
      <c r="A31" s="94" t="s">
        <v>777</v>
      </c>
      <c r="B31" s="84" t="s">
        <v>779</v>
      </c>
      <c r="C31" s="456">
        <v>5947</v>
      </c>
      <c r="D31" s="29">
        <v>3708</v>
      </c>
      <c r="E31" s="463">
        <f>+'1.mell._Össz_Mérleg2020'!C31</f>
        <v>18753</v>
      </c>
      <c r="F31" s="3"/>
      <c r="G31" s="3"/>
    </row>
    <row r="32" spans="1:7" s="3" customFormat="1" ht="12.75" customHeight="1" thickBot="1">
      <c r="A32" s="99" t="s">
        <v>3</v>
      </c>
      <c r="B32" s="80" t="s">
        <v>968</v>
      </c>
      <c r="C32" s="157">
        <f>+C33+C34+C35+C36+C37+C38+C39+C40+C41+C42+C43</f>
        <v>124554</v>
      </c>
      <c r="D32" s="35">
        <f>+D33+D34+D35+D36+D37+D38+D39+D40+D41+D42+D43</f>
        <v>129585</v>
      </c>
      <c r="E32" s="466">
        <f>+E33+E34+E35+E36+E37+E38+E39+E40+E41+E42+E43</f>
        <v>186868</v>
      </c>
    </row>
    <row r="33" spans="1:7" ht="12.75" customHeight="1">
      <c r="A33" s="100" t="s">
        <v>61</v>
      </c>
      <c r="B33" s="81" t="s">
        <v>1585</v>
      </c>
      <c r="C33" s="457">
        <v>8714</v>
      </c>
      <c r="D33" s="42">
        <v>9464</v>
      </c>
      <c r="E33" s="464">
        <f>+'1.mell._Össz_Mérleg2020'!C33</f>
        <v>8000</v>
      </c>
      <c r="F33" s="546"/>
      <c r="G33" s="3"/>
    </row>
    <row r="34" spans="1:7" ht="12.75" customHeight="1">
      <c r="A34" s="101" t="s">
        <v>62</v>
      </c>
      <c r="B34" s="83" t="s">
        <v>107</v>
      </c>
      <c r="C34" s="455">
        <v>54287</v>
      </c>
      <c r="D34" s="17">
        <v>48454</v>
      </c>
      <c r="E34" s="462">
        <f>+'1.mell._Össz_Mérleg2020'!C34</f>
        <v>65858</v>
      </c>
      <c r="G34" s="3"/>
    </row>
    <row r="35" spans="1:7" ht="12.75" customHeight="1">
      <c r="A35" s="101" t="s">
        <v>63</v>
      </c>
      <c r="B35" s="83" t="s">
        <v>108</v>
      </c>
      <c r="C35" s="455">
        <v>16417</v>
      </c>
      <c r="D35" s="17">
        <v>19649</v>
      </c>
      <c r="E35" s="462">
        <f>+'1.mell._Össz_Mérleg2020'!C35</f>
        <v>8541</v>
      </c>
      <c r="G35" s="3"/>
    </row>
    <row r="36" spans="1:7" ht="12.75" customHeight="1">
      <c r="A36" s="101" t="s">
        <v>64</v>
      </c>
      <c r="B36" s="83" t="s">
        <v>109</v>
      </c>
      <c r="C36" s="455">
        <v>236</v>
      </c>
      <c r="D36" s="17">
        <v>472</v>
      </c>
      <c r="E36" s="462">
        <f>+'1.mell._Össz_Mérleg2020'!C36</f>
        <v>236</v>
      </c>
      <c r="G36" s="3"/>
    </row>
    <row r="37" spans="1:7" ht="12.75" customHeight="1">
      <c r="A37" s="101" t="s">
        <v>65</v>
      </c>
      <c r="B37" s="83" t="s">
        <v>110</v>
      </c>
      <c r="C37" s="455">
        <v>8465</v>
      </c>
      <c r="D37" s="17">
        <v>8469</v>
      </c>
      <c r="E37" s="462">
        <f>+'1.mell._Össz_Mérleg2020'!C37</f>
        <v>9645</v>
      </c>
      <c r="G37" s="3"/>
    </row>
    <row r="38" spans="1:7" ht="12.75" customHeight="1">
      <c r="A38" s="101" t="s">
        <v>221</v>
      </c>
      <c r="B38" s="83" t="s">
        <v>111</v>
      </c>
      <c r="C38" s="455">
        <v>21996</v>
      </c>
      <c r="D38" s="17">
        <v>21284</v>
      </c>
      <c r="E38" s="462">
        <f>+'1.mell._Össz_Mérleg2020'!C38</f>
        <v>22311</v>
      </c>
      <c r="G38" s="3"/>
    </row>
    <row r="39" spans="1:7" ht="12.75" customHeight="1">
      <c r="A39" s="101" t="s">
        <v>222</v>
      </c>
      <c r="B39" s="83" t="s">
        <v>112</v>
      </c>
      <c r="C39" s="455">
        <v>6293</v>
      </c>
      <c r="D39" s="17">
        <v>19220</v>
      </c>
      <c r="E39" s="462">
        <f>+'1.mell._Össz_Mérleg2020'!C39</f>
        <v>10634</v>
      </c>
      <c r="G39" s="3"/>
    </row>
    <row r="40" spans="1:7" ht="12.75" customHeight="1">
      <c r="A40" s="101" t="s">
        <v>223</v>
      </c>
      <c r="B40" s="83" t="s">
        <v>978</v>
      </c>
      <c r="C40" s="455">
        <v>1</v>
      </c>
      <c r="D40" s="17"/>
      <c r="E40" s="462">
        <f>+'1.mell._Össz_Mérleg2020'!C40</f>
        <v>0</v>
      </c>
      <c r="G40" s="3"/>
    </row>
    <row r="41" spans="1:7" ht="12.75" customHeight="1">
      <c r="A41" s="101" t="s">
        <v>224</v>
      </c>
      <c r="B41" s="83" t="s">
        <v>113</v>
      </c>
      <c r="C41" s="455">
        <v>3880</v>
      </c>
      <c r="D41" s="17"/>
      <c r="E41" s="462">
        <f>+'1.mell._Össz_Mérleg2020'!C41</f>
        <v>0</v>
      </c>
      <c r="G41" s="3"/>
    </row>
    <row r="42" spans="1:7" ht="12.75" customHeight="1">
      <c r="A42" s="94" t="s">
        <v>225</v>
      </c>
      <c r="B42" s="84" t="s">
        <v>898</v>
      </c>
      <c r="C42" s="455">
        <v>786</v>
      </c>
      <c r="D42" s="17">
        <v>482</v>
      </c>
      <c r="E42" s="462">
        <f>+'1.mell._Össz_Mérleg2020'!C42</f>
        <v>0</v>
      </c>
      <c r="G42" s="3"/>
    </row>
    <row r="43" spans="1:7" ht="12.75" customHeight="1" thickBot="1">
      <c r="A43" s="94" t="s">
        <v>897</v>
      </c>
      <c r="B43" s="84" t="s">
        <v>899</v>
      </c>
      <c r="C43" s="456">
        <v>3479</v>
      </c>
      <c r="D43" s="29">
        <v>2091</v>
      </c>
      <c r="E43" s="463">
        <f>+'1.mell._Össz_Mérleg2020'!C43</f>
        <v>61643</v>
      </c>
      <c r="G43" s="3"/>
    </row>
    <row r="44" spans="1:7" s="3" customFormat="1" ht="12.75" thickBot="1">
      <c r="A44" s="99" t="s">
        <v>16</v>
      </c>
      <c r="B44" s="80" t="s">
        <v>969</v>
      </c>
      <c r="C44" s="157">
        <f>+C45+C46+C47+C48+C49</f>
        <v>3492</v>
      </c>
      <c r="D44" s="35">
        <f>+D45+D46+D47+D48+D49</f>
        <v>47790</v>
      </c>
      <c r="E44" s="466">
        <f>+E45+E46+E47+E48+E49</f>
        <v>0</v>
      </c>
    </row>
    <row r="45" spans="1:7" ht="12.75" customHeight="1">
      <c r="A45" s="100" t="s">
        <v>226</v>
      </c>
      <c r="B45" s="81" t="s">
        <v>114</v>
      </c>
      <c r="C45" s="457"/>
      <c r="D45" s="42"/>
      <c r="E45" s="464">
        <f>+'1.mell._Össz_Mérleg2020'!C45</f>
        <v>0</v>
      </c>
      <c r="G45" s="3"/>
    </row>
    <row r="46" spans="1:7" ht="12.75" customHeight="1">
      <c r="A46" s="100" t="s">
        <v>227</v>
      </c>
      <c r="B46" s="81" t="s">
        <v>900</v>
      </c>
      <c r="C46" s="457"/>
      <c r="D46" s="42"/>
      <c r="E46" s="464">
        <f>+'1.mell._Össz_Mérleg2020'!C46</f>
        <v>0</v>
      </c>
      <c r="G46" s="3"/>
    </row>
    <row r="47" spans="1:7" ht="12.75" customHeight="1">
      <c r="A47" s="100" t="s">
        <v>228</v>
      </c>
      <c r="B47" s="81" t="s">
        <v>901</v>
      </c>
      <c r="C47" s="457"/>
      <c r="D47" s="42"/>
      <c r="E47" s="464">
        <f>+'1.mell._Össz_Mérleg2020'!C47</f>
        <v>0</v>
      </c>
      <c r="G47" s="3"/>
    </row>
    <row r="48" spans="1:7" ht="12.75" customHeight="1">
      <c r="A48" s="101" t="s">
        <v>256</v>
      </c>
      <c r="B48" s="83" t="s">
        <v>902</v>
      </c>
      <c r="C48" s="455">
        <v>3280</v>
      </c>
      <c r="D48" s="17">
        <v>44870</v>
      </c>
      <c r="E48" s="462">
        <f>+'1.mell._Össz_Mérleg2020'!C48</f>
        <v>0</v>
      </c>
      <c r="G48" s="3"/>
    </row>
    <row r="49" spans="1:7" ht="12.75" customHeight="1" thickBot="1">
      <c r="A49" s="94" t="s">
        <v>257</v>
      </c>
      <c r="B49" s="84" t="s">
        <v>903</v>
      </c>
      <c r="C49" s="456">
        <v>212</v>
      </c>
      <c r="D49" s="29">
        <v>2920</v>
      </c>
      <c r="E49" s="463">
        <f>+'1.mell._Össz_Mérleg2020'!C49</f>
        <v>0</v>
      </c>
      <c r="G49" s="3"/>
    </row>
    <row r="50" spans="1:7" s="3" customFormat="1" ht="12.75" thickBot="1">
      <c r="A50" s="99" t="s">
        <v>15</v>
      </c>
      <c r="B50" s="85" t="s">
        <v>299</v>
      </c>
      <c r="C50" s="157">
        <f>+C51+C58+C64</f>
        <v>1341037</v>
      </c>
      <c r="D50" s="35">
        <f>+D51+D58+D64</f>
        <v>1220568</v>
      </c>
      <c r="E50" s="466">
        <f>+E51+E58+E64</f>
        <v>73726</v>
      </c>
    </row>
    <row r="51" spans="1:7" s="3" customFormat="1" ht="12.75" customHeight="1" thickBot="1">
      <c r="A51" s="99" t="s">
        <v>14</v>
      </c>
      <c r="B51" s="80" t="s">
        <v>300</v>
      </c>
      <c r="C51" s="157">
        <f>+C52+C53+C54+C55+C56</f>
        <v>1331164</v>
      </c>
      <c r="D51" s="35">
        <f>+D52+D53+D54+D55+D56</f>
        <v>1215708</v>
      </c>
      <c r="E51" s="466">
        <f>+E52+E53+E54+E55+E56</f>
        <v>32276</v>
      </c>
    </row>
    <row r="52" spans="1:7">
      <c r="A52" s="100" t="s">
        <v>184</v>
      </c>
      <c r="B52" s="135" t="s">
        <v>115</v>
      </c>
      <c r="C52" s="457">
        <v>22708</v>
      </c>
      <c r="D52" s="42">
        <v>382626</v>
      </c>
      <c r="E52" s="464">
        <f>+'1.mell._Össz_Mérleg2020'!C52</f>
        <v>0</v>
      </c>
      <c r="G52" s="3"/>
    </row>
    <row r="53" spans="1:7">
      <c r="A53" s="101" t="s">
        <v>185</v>
      </c>
      <c r="B53" s="83" t="s">
        <v>116</v>
      </c>
      <c r="C53" s="455"/>
      <c r="D53" s="17"/>
      <c r="E53" s="462">
        <f>+'1.mell._Össz_Mérleg2020'!C53</f>
        <v>0</v>
      </c>
      <c r="G53" s="3"/>
    </row>
    <row r="54" spans="1:7">
      <c r="A54" s="101" t="s">
        <v>186</v>
      </c>
      <c r="B54" s="83" t="s">
        <v>117</v>
      </c>
      <c r="C54" s="455"/>
      <c r="D54" s="17"/>
      <c r="E54" s="462">
        <f>+'1.mell._Össz_Mérleg2020'!C54</f>
        <v>0</v>
      </c>
      <c r="G54" s="3"/>
    </row>
    <row r="55" spans="1:7">
      <c r="A55" s="101" t="s">
        <v>187</v>
      </c>
      <c r="B55" s="83" t="s">
        <v>118</v>
      </c>
      <c r="C55" s="455"/>
      <c r="D55" s="17"/>
      <c r="E55" s="462">
        <f>+'1.mell._Össz_Mérleg2020'!C55</f>
        <v>0</v>
      </c>
      <c r="G55" s="3"/>
    </row>
    <row r="56" spans="1:7">
      <c r="A56" s="94" t="s">
        <v>188</v>
      </c>
      <c r="B56" s="84" t="s">
        <v>119</v>
      </c>
      <c r="C56" s="456">
        <v>1308456</v>
      </c>
      <c r="D56" s="29">
        <v>833082</v>
      </c>
      <c r="E56" s="463">
        <f>+'1.mell._Össz_Mérleg2020'!C56</f>
        <v>32276</v>
      </c>
      <c r="G56" s="3"/>
    </row>
    <row r="57" spans="1:7" s="14" customFormat="1" ht="12.75" thickBot="1">
      <c r="A57" s="105" t="s">
        <v>333</v>
      </c>
      <c r="B57" s="894" t="s">
        <v>337</v>
      </c>
      <c r="C57" s="1387">
        <v>1289663</v>
      </c>
      <c r="D57" s="1388"/>
      <c r="E57" s="461">
        <f>+'1.mell._Össz_Mérleg2020'!C57</f>
        <v>0</v>
      </c>
      <c r="G57" s="3"/>
    </row>
    <row r="58" spans="1:7" s="3" customFormat="1" ht="12.75" customHeight="1" thickBot="1">
      <c r="A58" s="99" t="s">
        <v>13</v>
      </c>
      <c r="B58" s="80" t="s">
        <v>301</v>
      </c>
      <c r="C58" s="157">
        <f>+C59+C60+C61+C62+C63</f>
        <v>6864</v>
      </c>
      <c r="D58" s="35">
        <f>+D59+D60+D61+D62+D63</f>
        <v>4022</v>
      </c>
      <c r="E58" s="466">
        <f>+E59+E60+E61+E62+E63</f>
        <v>40350</v>
      </c>
    </row>
    <row r="59" spans="1:7" ht="12.75" customHeight="1">
      <c r="A59" s="100" t="s">
        <v>66</v>
      </c>
      <c r="B59" s="81" t="s">
        <v>120</v>
      </c>
      <c r="C59" s="457"/>
      <c r="D59" s="42"/>
      <c r="E59" s="464">
        <f>+'1.mell._Össz_Mérleg2020'!C59</f>
        <v>0</v>
      </c>
      <c r="G59" s="3"/>
    </row>
    <row r="60" spans="1:7" ht="12.75" customHeight="1">
      <c r="A60" s="101" t="s">
        <v>67</v>
      </c>
      <c r="B60" s="83" t="s">
        <v>121</v>
      </c>
      <c r="C60" s="455">
        <v>5264</v>
      </c>
      <c r="D60" s="17">
        <v>3607</v>
      </c>
      <c r="E60" s="462">
        <f>+'1.mell._Össz_Mérleg2020'!C60</f>
        <v>40350</v>
      </c>
      <c r="G60" s="3"/>
    </row>
    <row r="61" spans="1:7" ht="12.75" customHeight="1">
      <c r="A61" s="101" t="s">
        <v>68</v>
      </c>
      <c r="B61" s="83" t="s">
        <v>122</v>
      </c>
      <c r="C61" s="455">
        <v>1600</v>
      </c>
      <c r="D61" s="17">
        <v>415</v>
      </c>
      <c r="E61" s="462">
        <f>+'1.mell._Össz_Mérleg2020'!C61</f>
        <v>0</v>
      </c>
      <c r="G61" s="3"/>
    </row>
    <row r="62" spans="1:7" ht="12.75" customHeight="1">
      <c r="A62" s="101" t="s">
        <v>229</v>
      </c>
      <c r="B62" s="83" t="s">
        <v>123</v>
      </c>
      <c r="C62" s="455"/>
      <c r="D62" s="17"/>
      <c r="E62" s="462">
        <f>+'1.mell._Össz_Mérleg2020'!C62</f>
        <v>0</v>
      </c>
      <c r="G62" s="3"/>
    </row>
    <row r="63" spans="1:7" ht="12.75" customHeight="1" thickBot="1">
      <c r="A63" s="94" t="s">
        <v>230</v>
      </c>
      <c r="B63" s="84" t="s">
        <v>124</v>
      </c>
      <c r="C63" s="456"/>
      <c r="D63" s="29"/>
      <c r="E63" s="463">
        <f>+'1.mell._Össz_Mérleg2020'!C63</f>
        <v>0</v>
      </c>
      <c r="G63" s="3"/>
    </row>
    <row r="64" spans="1:7" s="3" customFormat="1" ht="12.75" thickBot="1">
      <c r="A64" s="99" t="s">
        <v>12</v>
      </c>
      <c r="B64" s="80" t="s">
        <v>907</v>
      </c>
      <c r="C64" s="157">
        <f>+C65+C66+C67+C68+C69</f>
        <v>3009</v>
      </c>
      <c r="D64" s="35">
        <f>+D65+D66+D67+D68+D69</f>
        <v>838</v>
      </c>
      <c r="E64" s="466">
        <f>+E65+E66+E67+E68+E69</f>
        <v>1100</v>
      </c>
    </row>
    <row r="65" spans="1:7">
      <c r="A65" s="100" t="s">
        <v>69</v>
      </c>
      <c r="B65" s="81" t="s">
        <v>125</v>
      </c>
      <c r="C65" s="457"/>
      <c r="D65" s="42"/>
      <c r="E65" s="464">
        <f>+'1.mell._Össz_Mérleg2020'!C65</f>
        <v>0</v>
      </c>
      <c r="G65" s="3"/>
    </row>
    <row r="66" spans="1:7">
      <c r="A66" s="100" t="s">
        <v>70</v>
      </c>
      <c r="B66" s="81" t="s">
        <v>908</v>
      </c>
      <c r="C66" s="457"/>
      <c r="D66" s="42"/>
      <c r="E66" s="464">
        <f>+'1.mell._Össz_Mérleg2020'!C66</f>
        <v>0</v>
      </c>
      <c r="G66" s="3"/>
    </row>
    <row r="67" spans="1:7">
      <c r="A67" s="100" t="s">
        <v>71</v>
      </c>
      <c r="B67" s="81" t="s">
        <v>909</v>
      </c>
      <c r="C67" s="457"/>
      <c r="D67" s="42"/>
      <c r="E67" s="464">
        <f>+'1.mell._Össz_Mérleg2020'!C67</f>
        <v>0</v>
      </c>
      <c r="G67" s="3"/>
    </row>
    <row r="68" spans="1:7">
      <c r="A68" s="101" t="s">
        <v>72</v>
      </c>
      <c r="B68" s="83" t="s">
        <v>905</v>
      </c>
      <c r="C68" s="455">
        <v>1009</v>
      </c>
      <c r="D68" s="17">
        <v>838</v>
      </c>
      <c r="E68" s="462">
        <f>+'1.mell._Össz_Mérleg2020'!C68</f>
        <v>1100</v>
      </c>
      <c r="G68" s="3"/>
    </row>
    <row r="69" spans="1:7" ht="12.75" thickBot="1">
      <c r="A69" s="94" t="s">
        <v>904</v>
      </c>
      <c r="B69" s="84" t="s">
        <v>906</v>
      </c>
      <c r="C69" s="1390">
        <v>2000</v>
      </c>
      <c r="D69" s="1334"/>
      <c r="E69" s="463">
        <f>+'1.mell._Össz_Mérleg2020'!C69</f>
        <v>0</v>
      </c>
      <c r="G69" s="3"/>
    </row>
    <row r="70" spans="1:7" s="3" customFormat="1" ht="12.75" thickBot="1">
      <c r="A70" s="99" t="s">
        <v>11</v>
      </c>
      <c r="B70" s="85" t="s">
        <v>302</v>
      </c>
      <c r="C70" s="157">
        <f>+C10+C50</f>
        <v>3417980</v>
      </c>
      <c r="D70" s="35">
        <f>+D10+D50</f>
        <v>3258542</v>
      </c>
      <c r="E70" s="466">
        <f>+E10+E50</f>
        <v>1666925</v>
      </c>
    </row>
    <row r="71" spans="1:7" s="3" customFormat="1" ht="12.75" thickBot="1">
      <c r="A71" s="99" t="s">
        <v>10</v>
      </c>
      <c r="B71" s="86" t="s">
        <v>303</v>
      </c>
      <c r="C71" s="157">
        <f>+C72</f>
        <v>449560</v>
      </c>
      <c r="D71" s="35">
        <f>+D72</f>
        <v>3196604</v>
      </c>
      <c r="E71" s="466">
        <f>+E72</f>
        <v>2876249</v>
      </c>
    </row>
    <row r="72" spans="1:7" s="3" customFormat="1" ht="12.75" thickBot="1">
      <c r="A72" s="99" t="s">
        <v>9</v>
      </c>
      <c r="B72" s="80" t="s">
        <v>916</v>
      </c>
      <c r="C72" s="157">
        <f>+C73+C83+C84+C85</f>
        <v>449560</v>
      </c>
      <c r="D72" s="35">
        <f>+D73+D83+D84+D85</f>
        <v>3196604</v>
      </c>
      <c r="E72" s="466">
        <f>+E73+E83+E84+E85</f>
        <v>2876249</v>
      </c>
    </row>
    <row r="73" spans="1:7">
      <c r="A73" s="100" t="s">
        <v>73</v>
      </c>
      <c r="B73" s="81" t="s">
        <v>911</v>
      </c>
      <c r="C73" s="457">
        <f>+C74+C75+C76+C77+C78+C79+C80+C81+C82</f>
        <v>449560</v>
      </c>
      <c r="D73" s="42">
        <f>+D74+D75+D76+D77+D78+D79+D80+D81+D82</f>
        <v>3196604</v>
      </c>
      <c r="E73" s="464">
        <f>+E74+E75+E76+E77+E78+E79+E80+E81+E82</f>
        <v>2876249</v>
      </c>
      <c r="G73" s="3"/>
    </row>
    <row r="74" spans="1:7" s="14" customFormat="1">
      <c r="A74" s="102" t="s">
        <v>195</v>
      </c>
      <c r="B74" s="82" t="s">
        <v>910</v>
      </c>
      <c r="C74" s="453">
        <v>85565</v>
      </c>
      <c r="D74" s="16">
        <v>65277</v>
      </c>
      <c r="E74" s="460">
        <f>+'1.mell._Össz_Mérleg2020'!C74</f>
        <v>0</v>
      </c>
      <c r="G74" s="3"/>
    </row>
    <row r="75" spans="1:7" s="14" customFormat="1">
      <c r="A75" s="102" t="s">
        <v>196</v>
      </c>
      <c r="B75" s="82" t="s">
        <v>246</v>
      </c>
      <c r="C75" s="453"/>
      <c r="D75" s="16"/>
      <c r="E75" s="460">
        <f>+'1.mell._Össz_Mérleg2020'!C75</f>
        <v>0</v>
      </c>
      <c r="G75" s="3"/>
    </row>
    <row r="76" spans="1:7" s="14" customFormat="1">
      <c r="A76" s="102" t="s">
        <v>197</v>
      </c>
      <c r="B76" s="82" t="s">
        <v>247</v>
      </c>
      <c r="C76" s="453">
        <v>337324</v>
      </c>
      <c r="D76" s="16">
        <v>3100881</v>
      </c>
      <c r="E76" s="460">
        <f>+'1.mell._Össz_Mérleg2020'!C76</f>
        <v>2876249</v>
      </c>
      <c r="G76" s="3"/>
    </row>
    <row r="77" spans="1:7" s="14" customFormat="1">
      <c r="A77" s="102" t="s">
        <v>198</v>
      </c>
      <c r="B77" s="82" t="s">
        <v>248</v>
      </c>
      <c r="C77" s="453">
        <v>26671</v>
      </c>
      <c r="D77" s="16">
        <v>30446</v>
      </c>
      <c r="E77" s="460">
        <f>+'1.mell._Össz_Mérleg2020'!C77</f>
        <v>0</v>
      </c>
      <c r="G77" s="3"/>
    </row>
    <row r="78" spans="1:7" s="14" customFormat="1">
      <c r="A78" s="102" t="s">
        <v>199</v>
      </c>
      <c r="B78" s="82" t="s">
        <v>249</v>
      </c>
      <c r="C78" s="453"/>
      <c r="D78" s="16"/>
      <c r="E78" s="460">
        <f>+'1.mell._Össz_Mérleg2020'!C78</f>
        <v>0</v>
      </c>
      <c r="G78" s="3"/>
    </row>
    <row r="79" spans="1:7" s="14" customFormat="1">
      <c r="A79" s="121" t="s">
        <v>200</v>
      </c>
      <c r="B79" s="122" t="s">
        <v>250</v>
      </c>
      <c r="C79" s="452"/>
      <c r="D79" s="126"/>
      <c r="E79" s="459">
        <f>+'1.mell._Össz_Mérleg2020'!C79</f>
        <v>0</v>
      </c>
      <c r="G79" s="3"/>
    </row>
    <row r="80" spans="1:7" s="14" customFormat="1">
      <c r="A80" s="102" t="s">
        <v>203</v>
      </c>
      <c r="B80" s="82" t="s">
        <v>251</v>
      </c>
      <c r="C80" s="453"/>
      <c r="D80" s="16"/>
      <c r="E80" s="460">
        <f>+'1.mell._Össz_Mérleg2020'!C80</f>
        <v>0</v>
      </c>
      <c r="G80" s="3"/>
    </row>
    <row r="81" spans="1:7" s="14" customFormat="1">
      <c r="A81" s="102" t="s">
        <v>201</v>
      </c>
      <c r="B81" s="82" t="s">
        <v>244</v>
      </c>
      <c r="C81" s="453"/>
      <c r="D81" s="16"/>
      <c r="E81" s="460">
        <f>+'1.mell._Össz_Mérleg2020'!C81</f>
        <v>0</v>
      </c>
      <c r="G81" s="3"/>
    </row>
    <row r="82" spans="1:7" s="14" customFormat="1">
      <c r="A82" s="102" t="s">
        <v>912</v>
      </c>
      <c r="B82" s="82" t="s">
        <v>913</v>
      </c>
      <c r="C82" s="453"/>
      <c r="D82" s="16"/>
      <c r="E82" s="460">
        <f>+'1.mell._Össz_Mérleg2020'!C82</f>
        <v>0</v>
      </c>
      <c r="G82" s="3"/>
    </row>
    <row r="83" spans="1:7">
      <c r="A83" s="101" t="s">
        <v>74</v>
      </c>
      <c r="B83" s="83" t="s">
        <v>242</v>
      </c>
      <c r="C83" s="455"/>
      <c r="D83" s="17"/>
      <c r="E83" s="462">
        <f>+'1.mell._Össz_Mérleg2020'!C83</f>
        <v>0</v>
      </c>
      <c r="G83" s="3"/>
    </row>
    <row r="84" spans="1:7">
      <c r="A84" s="94" t="s">
        <v>202</v>
      </c>
      <c r="B84" s="84" t="s">
        <v>243</v>
      </c>
      <c r="C84" s="456"/>
      <c r="D84" s="29"/>
      <c r="E84" s="463">
        <f>+'1.mell._Össz_Mérleg2020'!C84</f>
        <v>0</v>
      </c>
      <c r="G84" s="3"/>
    </row>
    <row r="85" spans="1:7" ht="12.75" thickBot="1">
      <c r="A85" s="94" t="s">
        <v>914</v>
      </c>
      <c r="B85" s="84" t="s">
        <v>915</v>
      </c>
      <c r="C85" s="456"/>
      <c r="D85" s="29"/>
      <c r="E85" s="463">
        <f>+'1.mell._Össz_Mérleg2020'!C85</f>
        <v>0</v>
      </c>
      <c r="G85" s="3"/>
    </row>
    <row r="86" spans="1:7" s="3" customFormat="1" ht="12.75" thickBot="1">
      <c r="A86" s="99" t="s">
        <v>45</v>
      </c>
      <c r="B86" s="86" t="s">
        <v>304</v>
      </c>
      <c r="C86" s="157">
        <f>+C87</f>
        <v>1857788</v>
      </c>
      <c r="D86" s="35">
        <f>+D87</f>
        <v>0</v>
      </c>
      <c r="E86" s="466">
        <f>+E87</f>
        <v>10000</v>
      </c>
    </row>
    <row r="87" spans="1:7" s="3" customFormat="1" ht="12.75" thickBot="1">
      <c r="A87" s="99" t="s">
        <v>44</v>
      </c>
      <c r="B87" s="80" t="s">
        <v>918</v>
      </c>
      <c r="C87" s="157">
        <f>+C88+C98+C99+C100</f>
        <v>1857788</v>
      </c>
      <c r="D87" s="35">
        <f>+D88+D98+D99+D100</f>
        <v>0</v>
      </c>
      <c r="E87" s="466">
        <f>+E88+E98+E99+E100</f>
        <v>10000</v>
      </c>
    </row>
    <row r="88" spans="1:7">
      <c r="A88" s="100" t="s">
        <v>231</v>
      </c>
      <c r="B88" s="81" t="s">
        <v>970</v>
      </c>
      <c r="C88" s="457">
        <f>+C89+C90+C91+C92+C93+C94+C95+C96+C97</f>
        <v>1857788</v>
      </c>
      <c r="D88" s="42">
        <f>+D89+D90+D91+D92+D93+D94+D95+D96+D97</f>
        <v>0</v>
      </c>
      <c r="E88" s="464">
        <f>+E89+E90+E91+E92+E93+E94+E95+E96+E97</f>
        <v>10000</v>
      </c>
      <c r="G88" s="3"/>
    </row>
    <row r="89" spans="1:7" s="14" customFormat="1">
      <c r="A89" s="102" t="s">
        <v>232</v>
      </c>
      <c r="B89" s="82" t="s">
        <v>910</v>
      </c>
      <c r="C89" s="453"/>
      <c r="D89" s="16"/>
      <c r="E89" s="460">
        <f>+'1.mell._Össz_Mérleg2020'!C89</f>
        <v>10000</v>
      </c>
      <c r="G89" s="3"/>
    </row>
    <row r="90" spans="1:7" s="14" customFormat="1">
      <c r="A90" s="102" t="s">
        <v>233</v>
      </c>
      <c r="B90" s="82" t="s">
        <v>246</v>
      </c>
      <c r="C90" s="453"/>
      <c r="D90" s="16"/>
      <c r="E90" s="460">
        <f>+'1.mell._Össz_Mérleg2020'!C90</f>
        <v>0</v>
      </c>
      <c r="G90" s="3"/>
    </row>
    <row r="91" spans="1:7" s="14" customFormat="1">
      <c r="A91" s="102" t="s">
        <v>234</v>
      </c>
      <c r="B91" s="82" t="s">
        <v>247</v>
      </c>
      <c r="C91" s="453">
        <v>1857788</v>
      </c>
      <c r="D91" s="16"/>
      <c r="E91" s="460">
        <f>+'1.mell._Össz_Mérleg2020'!C91</f>
        <v>0</v>
      </c>
      <c r="G91" s="3"/>
    </row>
    <row r="92" spans="1:7" s="14" customFormat="1">
      <c r="A92" s="102" t="s">
        <v>235</v>
      </c>
      <c r="B92" s="82" t="s">
        <v>248</v>
      </c>
      <c r="C92" s="453"/>
      <c r="D92" s="16"/>
      <c r="E92" s="460">
        <f>+'1.mell._Össz_Mérleg2020'!C92</f>
        <v>0</v>
      </c>
      <c r="G92" s="3"/>
    </row>
    <row r="93" spans="1:7" s="14" customFormat="1">
      <c r="A93" s="102" t="s">
        <v>236</v>
      </c>
      <c r="B93" s="82" t="s">
        <v>249</v>
      </c>
      <c r="C93" s="453"/>
      <c r="D93" s="16"/>
      <c r="E93" s="460">
        <f>+'1.mell._Össz_Mérleg2020'!C93</f>
        <v>0</v>
      </c>
      <c r="G93" s="3"/>
    </row>
    <row r="94" spans="1:7" s="14" customFormat="1">
      <c r="A94" s="121" t="s">
        <v>237</v>
      </c>
      <c r="B94" s="122" t="s">
        <v>250</v>
      </c>
      <c r="C94" s="452"/>
      <c r="D94" s="126"/>
      <c r="E94" s="459">
        <f>+'1.mell._Össz_Mérleg2020'!C94</f>
        <v>0</v>
      </c>
      <c r="G94" s="3"/>
    </row>
    <row r="95" spans="1:7" s="14" customFormat="1">
      <c r="A95" s="102" t="s">
        <v>238</v>
      </c>
      <c r="B95" s="82" t="s">
        <v>251</v>
      </c>
      <c r="C95" s="453"/>
      <c r="D95" s="16"/>
      <c r="E95" s="460">
        <f>+'1.mell._Össz_Mérleg2020'!C95</f>
        <v>0</v>
      </c>
      <c r="G95" s="3"/>
    </row>
    <row r="96" spans="1:7" s="14" customFormat="1">
      <c r="A96" s="102" t="s">
        <v>239</v>
      </c>
      <c r="B96" s="82" t="s">
        <v>244</v>
      </c>
      <c r="C96" s="453"/>
      <c r="D96" s="16"/>
      <c r="E96" s="460">
        <f>+'1.mell._Össz_Mérleg2020'!C96</f>
        <v>0</v>
      </c>
      <c r="G96" s="3"/>
    </row>
    <row r="97" spans="1:9" s="14" customFormat="1">
      <c r="A97" s="102" t="s">
        <v>917</v>
      </c>
      <c r="B97" s="82" t="s">
        <v>913</v>
      </c>
      <c r="C97" s="453"/>
      <c r="D97" s="16"/>
      <c r="E97" s="460">
        <f>+'1.mell._Össz_Mérleg2020'!C97</f>
        <v>0</v>
      </c>
      <c r="G97" s="3"/>
    </row>
    <row r="98" spans="1:9">
      <c r="A98" s="101" t="s">
        <v>240</v>
      </c>
      <c r="B98" s="83" t="s">
        <v>242</v>
      </c>
      <c r="C98" s="455"/>
      <c r="D98" s="17"/>
      <c r="E98" s="462">
        <f>+'1.mell._Össz_Mérleg2020'!C98</f>
        <v>0</v>
      </c>
      <c r="G98" s="3"/>
    </row>
    <row r="99" spans="1:9">
      <c r="A99" s="94" t="s">
        <v>241</v>
      </c>
      <c r="B99" s="84" t="s">
        <v>243</v>
      </c>
      <c r="C99" s="456"/>
      <c r="D99" s="29"/>
      <c r="E99" s="463">
        <f>+'1.mell._Össz_Mérleg2020'!C99</f>
        <v>0</v>
      </c>
      <c r="G99" s="3"/>
    </row>
    <row r="100" spans="1:9" ht="12.75" thickBot="1">
      <c r="A100" s="94" t="s">
        <v>919</v>
      </c>
      <c r="B100" s="84" t="s">
        <v>915</v>
      </c>
      <c r="C100" s="456"/>
      <c r="D100" s="29"/>
      <c r="E100" s="463">
        <f>+'1.mell._Össz_Mérleg2020'!C100</f>
        <v>0</v>
      </c>
      <c r="G100" s="3"/>
    </row>
    <row r="101" spans="1:9" s="3" customFormat="1" ht="12.75" thickBot="1">
      <c r="A101" s="99" t="s">
        <v>43</v>
      </c>
      <c r="B101" s="85" t="s">
        <v>305</v>
      </c>
      <c r="C101" s="157">
        <f>+C71+C86</f>
        <v>2307348</v>
      </c>
      <c r="D101" s="35">
        <f>+D71+D86</f>
        <v>3196604</v>
      </c>
      <c r="E101" s="466">
        <f>+E71+E86</f>
        <v>2886249</v>
      </c>
    </row>
    <row r="102" spans="1:9" s="3" customFormat="1" ht="12.75" thickBot="1">
      <c r="A102" s="103" t="s">
        <v>40</v>
      </c>
      <c r="B102" s="87" t="s">
        <v>306</v>
      </c>
      <c r="C102" s="451">
        <f>+C70+C101</f>
        <v>5725328</v>
      </c>
      <c r="D102" s="32">
        <f>+D70+D101</f>
        <v>6455146</v>
      </c>
      <c r="E102" s="458">
        <f>+E70+E101</f>
        <v>4553174</v>
      </c>
    </row>
    <row r="103" spans="1:9" s="14" customFormat="1">
      <c r="A103" s="778"/>
      <c r="B103" s="777"/>
      <c r="G103" s="777">
        <f>+C102-C208</f>
        <v>3100881</v>
      </c>
      <c r="H103" s="777">
        <f>+D102-D208</f>
        <v>3330713</v>
      </c>
      <c r="I103" s="777">
        <f>+E102-E208</f>
        <v>0</v>
      </c>
    </row>
    <row r="104" spans="1:9" s="46" customFormat="1">
      <c r="A104" s="779"/>
      <c r="B104" s="547"/>
      <c r="C104" s="547"/>
      <c r="D104" s="547"/>
      <c r="E104" s="547"/>
      <c r="G104" s="3"/>
      <c r="H104" s="14">
        <f>+E76-H103</f>
        <v>-454464</v>
      </c>
    </row>
    <row r="105" spans="1:9" s="65" customFormat="1" ht="15.75">
      <c r="A105" s="1210" t="s">
        <v>80</v>
      </c>
      <c r="B105" s="1210"/>
      <c r="C105" s="1210"/>
      <c r="D105" s="1210"/>
      <c r="E105" s="1210"/>
      <c r="G105" s="3"/>
    </row>
    <row r="106" spans="1:9" s="46" customFormat="1" ht="12.75" thickBot="1">
      <c r="A106" s="48" t="s">
        <v>278</v>
      </c>
      <c r="E106" s="47" t="s">
        <v>280</v>
      </c>
      <c r="G106" s="3"/>
    </row>
    <row r="107" spans="1:9" s="3" customFormat="1" ht="36.75" thickBot="1">
      <c r="A107" s="95" t="s">
        <v>17</v>
      </c>
      <c r="B107" s="96" t="s">
        <v>328</v>
      </c>
      <c r="C107" s="467" t="s">
        <v>1459</v>
      </c>
      <c r="D107" s="8" t="s">
        <v>1458</v>
      </c>
      <c r="E107" s="5" t="s">
        <v>1442</v>
      </c>
    </row>
    <row r="108" spans="1:9" s="3" customFormat="1" ht="12.75" thickBot="1">
      <c r="A108" s="97" t="s">
        <v>252</v>
      </c>
      <c r="B108" s="98" t="s">
        <v>253</v>
      </c>
      <c r="C108" s="1144" t="s">
        <v>254</v>
      </c>
      <c r="D108" s="1143" t="s">
        <v>360</v>
      </c>
      <c r="E108" s="1145" t="s">
        <v>361</v>
      </c>
    </row>
    <row r="109" spans="1:9" s="3" customFormat="1" ht="12.75" thickBot="1">
      <c r="A109" s="99" t="s">
        <v>4</v>
      </c>
      <c r="B109" s="85" t="s">
        <v>307</v>
      </c>
      <c r="C109" s="157">
        <f>+C110+C114+C116+C123+C132</f>
        <v>1807005</v>
      </c>
      <c r="D109" s="35">
        <f>+D110+D114+D116+D123+D132</f>
        <v>1963656</v>
      </c>
      <c r="E109" s="466">
        <f>+E110+E114+E116+E123+E132</f>
        <v>4018748</v>
      </c>
    </row>
    <row r="110" spans="1:9" s="3" customFormat="1" ht="12.75" thickBot="1">
      <c r="A110" s="99" t="s">
        <v>5</v>
      </c>
      <c r="B110" s="80" t="s">
        <v>308</v>
      </c>
      <c r="C110" s="157">
        <f>+C112+C113</f>
        <v>839058</v>
      </c>
      <c r="D110" s="35">
        <f>+D112+D113</f>
        <v>915906</v>
      </c>
      <c r="E110" s="466">
        <f>+E112+E113</f>
        <v>715534</v>
      </c>
    </row>
    <row r="111" spans="1:9" s="46" customFormat="1">
      <c r="A111" s="895" t="s">
        <v>348</v>
      </c>
      <c r="B111" s="896" t="s">
        <v>349</v>
      </c>
      <c r="C111" s="1391">
        <v>96862</v>
      </c>
      <c r="D111" s="1392"/>
      <c r="E111" s="465">
        <f>+'1.mell._Össz_Mérleg2020'!C111</f>
        <v>0</v>
      </c>
      <c r="G111" s="3"/>
    </row>
    <row r="112" spans="1:9">
      <c r="A112" s="100" t="s">
        <v>54</v>
      </c>
      <c r="B112" s="81" t="s">
        <v>126</v>
      </c>
      <c r="C112" s="457">
        <v>746559</v>
      </c>
      <c r="D112" s="42">
        <v>817739</v>
      </c>
      <c r="E112" s="464">
        <f>+'1.mell._Össz_Mérleg2020'!C112</f>
        <v>670542</v>
      </c>
      <c r="G112" s="3"/>
    </row>
    <row r="113" spans="1:7" ht="12.75" thickBot="1">
      <c r="A113" s="94" t="s">
        <v>55</v>
      </c>
      <c r="B113" s="84" t="s">
        <v>127</v>
      </c>
      <c r="C113" s="456">
        <v>92499</v>
      </c>
      <c r="D113" s="29">
        <v>98167</v>
      </c>
      <c r="E113" s="463">
        <f>+'1.mell._Össz_Mérleg2020'!C113</f>
        <v>44991.999999999993</v>
      </c>
      <c r="G113" s="3"/>
    </row>
    <row r="114" spans="1:7" s="3" customFormat="1" ht="12.75" thickBot="1">
      <c r="A114" s="99" t="s">
        <v>6</v>
      </c>
      <c r="B114" s="80" t="s">
        <v>255</v>
      </c>
      <c r="C114" s="157">
        <v>153994</v>
      </c>
      <c r="D114" s="35">
        <v>169542</v>
      </c>
      <c r="E114" s="466">
        <f>+'1.mell._Össz_Mérleg2020'!C114</f>
        <v>130817</v>
      </c>
    </row>
    <row r="115" spans="1:7" s="46" customFormat="1" ht="12.75" thickBot="1">
      <c r="A115" s="895" t="s">
        <v>345</v>
      </c>
      <c r="B115" s="896" t="s">
        <v>346</v>
      </c>
      <c r="C115" s="1391">
        <v>16944</v>
      </c>
      <c r="D115" s="1392"/>
      <c r="E115" s="465">
        <f>+'1.mell._Össz_Mérleg2020'!C115</f>
        <v>0</v>
      </c>
      <c r="G115" s="3"/>
    </row>
    <row r="116" spans="1:7" s="3" customFormat="1" ht="12.75" thickBot="1">
      <c r="A116" s="99" t="s">
        <v>3</v>
      </c>
      <c r="B116" s="80" t="s">
        <v>342</v>
      </c>
      <c r="C116" s="157">
        <f>+C118+C119+C120+C121+C122</f>
        <v>690773</v>
      </c>
      <c r="D116" s="35">
        <f>+D118+D119+D120+D121+D122</f>
        <v>745688</v>
      </c>
      <c r="E116" s="466">
        <f>+E118+E119+E120+E121+E122</f>
        <v>401997</v>
      </c>
    </row>
    <row r="117" spans="1:7" s="46" customFormat="1">
      <c r="A117" s="895" t="s">
        <v>340</v>
      </c>
      <c r="B117" s="896" t="s">
        <v>347</v>
      </c>
      <c r="C117" s="1391">
        <v>271494</v>
      </c>
      <c r="D117" s="1392"/>
      <c r="E117" s="465">
        <f>+'1.mell._Össz_Mérleg2020'!C117</f>
        <v>0</v>
      </c>
      <c r="G117" s="3"/>
    </row>
    <row r="118" spans="1:7">
      <c r="A118" s="100" t="s">
        <v>61</v>
      </c>
      <c r="B118" s="81" t="s">
        <v>128</v>
      </c>
      <c r="C118" s="457">
        <v>70377</v>
      </c>
      <c r="D118" s="42">
        <v>76493</v>
      </c>
      <c r="E118" s="464">
        <f>+'1.mell._Össz_Mérleg2020'!C118</f>
        <v>37355</v>
      </c>
      <c r="G118" s="3"/>
    </row>
    <row r="119" spans="1:7">
      <c r="A119" s="101" t="s">
        <v>62</v>
      </c>
      <c r="B119" s="83" t="s">
        <v>129</v>
      </c>
      <c r="C119" s="455">
        <v>24473</v>
      </c>
      <c r="D119" s="17">
        <v>25044</v>
      </c>
      <c r="E119" s="462">
        <f>+'1.mell._Össz_Mérleg2020'!C119</f>
        <v>27387</v>
      </c>
      <c r="G119" s="3"/>
    </row>
    <row r="120" spans="1:7">
      <c r="A120" s="101" t="s">
        <v>63</v>
      </c>
      <c r="B120" s="83" t="s">
        <v>130</v>
      </c>
      <c r="C120" s="455">
        <v>437818</v>
      </c>
      <c r="D120" s="17">
        <v>430284</v>
      </c>
      <c r="E120" s="462">
        <f>+'1.mell._Össz_Mérleg2020'!C120</f>
        <v>225919</v>
      </c>
      <c r="G120" s="3"/>
    </row>
    <row r="121" spans="1:7">
      <c r="A121" s="101" t="s">
        <v>64</v>
      </c>
      <c r="B121" s="83" t="s">
        <v>131</v>
      </c>
      <c r="C121" s="455">
        <v>3099</v>
      </c>
      <c r="D121" s="17">
        <v>6254</v>
      </c>
      <c r="E121" s="462">
        <f>+'1.mell._Össz_Mérleg2020'!C121</f>
        <v>2380</v>
      </c>
      <c r="G121" s="3"/>
    </row>
    <row r="122" spans="1:7" ht="12.75" thickBot="1">
      <c r="A122" s="94" t="s">
        <v>65</v>
      </c>
      <c r="B122" s="84" t="s">
        <v>132</v>
      </c>
      <c r="C122" s="456">
        <v>155006</v>
      </c>
      <c r="D122" s="29">
        <f>207612+1</f>
        <v>207613</v>
      </c>
      <c r="E122" s="463">
        <f>+'1.mell._Össz_Mérleg2020'!C122</f>
        <v>108956</v>
      </c>
      <c r="G122" s="3"/>
    </row>
    <row r="123" spans="1:7" s="3" customFormat="1" ht="12.75" thickBot="1">
      <c r="A123" s="99" t="s">
        <v>16</v>
      </c>
      <c r="B123" s="80" t="s">
        <v>309</v>
      </c>
      <c r="C123" s="157">
        <f>+C124+C125+C126+C127+C128+C129+C130+C131</f>
        <v>54350</v>
      </c>
      <c r="D123" s="35">
        <f>+D124+D125+D126+D127+D128+D129+D130+D131</f>
        <v>43161</v>
      </c>
      <c r="E123" s="466">
        <f>+E124+E125+E126+E127+E128+E129+E130+E131</f>
        <v>52779</v>
      </c>
    </row>
    <row r="124" spans="1:7">
      <c r="A124" s="100" t="s">
        <v>226</v>
      </c>
      <c r="B124" s="81" t="s">
        <v>133</v>
      </c>
      <c r="C124" s="457"/>
      <c r="D124" s="42"/>
      <c r="E124" s="464">
        <f>+'1.mell._Össz_Mérleg2020'!C124</f>
        <v>0</v>
      </c>
      <c r="G124" s="3"/>
    </row>
    <row r="125" spans="1:7">
      <c r="A125" s="101" t="s">
        <v>227</v>
      </c>
      <c r="B125" s="83" t="s">
        <v>134</v>
      </c>
      <c r="C125" s="455">
        <v>12775</v>
      </c>
      <c r="D125" s="17"/>
      <c r="E125" s="462">
        <f>+'1.mell._Össz_Mérleg2020'!C125</f>
        <v>0</v>
      </c>
      <c r="G125" s="3"/>
    </row>
    <row r="126" spans="1:7">
      <c r="A126" s="101" t="s">
        <v>228</v>
      </c>
      <c r="B126" s="83" t="s">
        <v>135</v>
      </c>
      <c r="C126" s="455"/>
      <c r="D126" s="17"/>
      <c r="E126" s="462">
        <f>+'1.mell._Össz_Mérleg2020'!C126</f>
        <v>0</v>
      </c>
      <c r="G126" s="3"/>
    </row>
    <row r="127" spans="1:7">
      <c r="A127" s="101" t="s">
        <v>256</v>
      </c>
      <c r="B127" s="83" t="s">
        <v>136</v>
      </c>
      <c r="C127" s="455"/>
      <c r="D127" s="17"/>
      <c r="E127" s="462">
        <f>+'1.mell._Össz_Mérleg2020'!C127</f>
        <v>2400</v>
      </c>
      <c r="G127" s="3"/>
    </row>
    <row r="128" spans="1:7">
      <c r="A128" s="101" t="s">
        <v>257</v>
      </c>
      <c r="B128" s="83" t="s">
        <v>137</v>
      </c>
      <c r="C128" s="455"/>
      <c r="D128" s="17"/>
      <c r="E128" s="462">
        <f>+'1.mell._Össz_Mérleg2020'!C128</f>
        <v>0</v>
      </c>
      <c r="G128" s="3"/>
    </row>
    <row r="129" spans="1:7">
      <c r="A129" s="101" t="s">
        <v>258</v>
      </c>
      <c r="B129" s="83" t="s">
        <v>138</v>
      </c>
      <c r="C129" s="455"/>
      <c r="D129" s="17">
        <v>2461</v>
      </c>
      <c r="E129" s="462">
        <f>+'1.mell._Össz_Mérleg2020'!C129</f>
        <v>19200</v>
      </c>
      <c r="G129" s="3"/>
    </row>
    <row r="130" spans="1:7">
      <c r="A130" s="101" t="s">
        <v>259</v>
      </c>
      <c r="B130" s="83" t="s">
        <v>139</v>
      </c>
      <c r="C130" s="455">
        <v>2300</v>
      </c>
      <c r="D130" s="17"/>
      <c r="E130" s="462">
        <f>+'1.mell._Össz_Mérleg2020'!C130</f>
        <v>8299</v>
      </c>
      <c r="G130" s="3"/>
    </row>
    <row r="131" spans="1:7" ht="12.75" thickBot="1">
      <c r="A131" s="94" t="s">
        <v>260</v>
      </c>
      <c r="B131" s="84" t="s">
        <v>140</v>
      </c>
      <c r="C131" s="456">
        <v>39275</v>
      </c>
      <c r="D131" s="29">
        <v>40700</v>
      </c>
      <c r="E131" s="463">
        <f>+'1.mell._Össz_Mérleg2020'!C131</f>
        <v>22880</v>
      </c>
      <c r="G131" s="3"/>
    </row>
    <row r="132" spans="1:7" s="3" customFormat="1" ht="12.75" thickBot="1">
      <c r="A132" s="99" t="s">
        <v>15</v>
      </c>
      <c r="B132" s="80" t="s">
        <v>923</v>
      </c>
      <c r="C132" s="157">
        <f>+C133+C134+C135+C136+C137+C138+C140+C141+C142+C143+C144+C145+C146</f>
        <v>68830</v>
      </c>
      <c r="D132" s="35">
        <f>+D133+D134+D135+D136+D137+D138+D140+D141+D142+D143+D144+D145+D146</f>
        <v>89359</v>
      </c>
      <c r="E132" s="466">
        <f>+E133+E134+E135+E136+E137+E138+E140+E141+E142+E143+E144+E145+E146</f>
        <v>2717621</v>
      </c>
    </row>
    <row r="133" spans="1:7">
      <c r="A133" s="100" t="s">
        <v>87</v>
      </c>
      <c r="B133" s="81" t="s">
        <v>141</v>
      </c>
      <c r="C133" s="457"/>
      <c r="D133" s="42"/>
      <c r="E133" s="464">
        <f>+'1.mell._Össz_Mérleg2020'!C133</f>
        <v>0</v>
      </c>
      <c r="G133" s="3"/>
    </row>
    <row r="134" spans="1:7">
      <c r="A134" s="101" t="s">
        <v>88</v>
      </c>
      <c r="B134" s="83" t="s">
        <v>142</v>
      </c>
      <c r="C134" s="455">
        <v>4931</v>
      </c>
      <c r="D134" s="17">
        <f>10258-1</f>
        <v>10257</v>
      </c>
      <c r="E134" s="462">
        <f>+'1.mell._Össz_Mérleg2020'!C134</f>
        <v>9014</v>
      </c>
      <c r="G134" s="3"/>
    </row>
    <row r="135" spans="1:7">
      <c r="A135" s="101" t="s">
        <v>181</v>
      </c>
      <c r="B135" s="83" t="s">
        <v>143</v>
      </c>
      <c r="C135" s="455"/>
      <c r="D135" s="17"/>
      <c r="E135" s="462">
        <f>+'1.mell._Össz_Mérleg2020'!C135</f>
        <v>0</v>
      </c>
      <c r="G135" s="3"/>
    </row>
    <row r="136" spans="1:7">
      <c r="A136" s="101" t="s">
        <v>182</v>
      </c>
      <c r="B136" s="83" t="s">
        <v>144</v>
      </c>
      <c r="C136" s="455"/>
      <c r="D136" s="17"/>
      <c r="E136" s="462">
        <f>+'1.mell._Össz_Mérleg2020'!C136</f>
        <v>0</v>
      </c>
      <c r="G136" s="3"/>
    </row>
    <row r="137" spans="1:7">
      <c r="A137" s="101" t="s">
        <v>183</v>
      </c>
      <c r="B137" s="83" t="s">
        <v>145</v>
      </c>
      <c r="C137" s="455"/>
      <c r="D137" s="17"/>
      <c r="E137" s="462">
        <f>+'1.mell._Össz_Mérleg2020'!C137</f>
        <v>0</v>
      </c>
      <c r="G137" s="3"/>
    </row>
    <row r="138" spans="1:7">
      <c r="A138" s="101" t="s">
        <v>261</v>
      </c>
      <c r="B138" s="83" t="s">
        <v>146</v>
      </c>
      <c r="C138" s="455">
        <v>10526</v>
      </c>
      <c r="D138" s="17">
        <v>17991</v>
      </c>
      <c r="E138" s="462">
        <f>+'1.mell._Össz_Mérleg2020'!C138</f>
        <v>9332</v>
      </c>
      <c r="G138" s="3"/>
    </row>
    <row r="139" spans="1:7" s="14" customFormat="1">
      <c r="A139" s="105" t="s">
        <v>335</v>
      </c>
      <c r="B139" s="894" t="s">
        <v>929</v>
      </c>
      <c r="C139" s="1387">
        <v>2720</v>
      </c>
      <c r="D139" s="1388"/>
      <c r="E139" s="461">
        <f>+'1.mell._Össz_Mérleg2020'!C139</f>
        <v>0</v>
      </c>
      <c r="G139" s="3"/>
    </row>
    <row r="140" spans="1:7">
      <c r="A140" s="101" t="s">
        <v>262</v>
      </c>
      <c r="B140" s="83" t="s">
        <v>147</v>
      </c>
      <c r="C140" s="455"/>
      <c r="D140" s="17"/>
      <c r="E140" s="462">
        <f>+'1.mell._Össz_Mérleg2020'!C140</f>
        <v>0</v>
      </c>
      <c r="G140" s="3"/>
    </row>
    <row r="141" spans="1:7">
      <c r="A141" s="101" t="s">
        <v>263</v>
      </c>
      <c r="B141" s="83" t="s">
        <v>148</v>
      </c>
      <c r="C141" s="455">
        <v>9401</v>
      </c>
      <c r="D141" s="17">
        <v>8814</v>
      </c>
      <c r="E141" s="462">
        <f>+'1.mell._Össz_Mérleg2020'!C141</f>
        <v>0</v>
      </c>
      <c r="G141" s="3"/>
    </row>
    <row r="142" spans="1:7">
      <c r="A142" s="101" t="s">
        <v>264</v>
      </c>
      <c r="B142" s="83" t="s">
        <v>149</v>
      </c>
      <c r="C142" s="455"/>
      <c r="D142" s="17"/>
      <c r="E142" s="462">
        <f>+'1.mell._Össz_Mérleg2020'!C142</f>
        <v>0</v>
      </c>
      <c r="G142" s="3"/>
    </row>
    <row r="143" spans="1:7">
      <c r="A143" s="101" t="s">
        <v>265</v>
      </c>
      <c r="B143" s="83" t="s">
        <v>150</v>
      </c>
      <c r="C143" s="455"/>
      <c r="D143" s="17"/>
      <c r="E143" s="462">
        <f>+'1.mell._Össz_Mérleg2020'!C143</f>
        <v>0</v>
      </c>
      <c r="G143" s="3"/>
    </row>
    <row r="144" spans="1:7">
      <c r="A144" s="101" t="s">
        <v>266</v>
      </c>
      <c r="B144" s="83" t="s">
        <v>924</v>
      </c>
      <c r="C144" s="455"/>
      <c r="D144" s="17"/>
      <c r="E144" s="462">
        <f>+'1.mell._Össz_Mérleg2020'!C144</f>
        <v>0</v>
      </c>
      <c r="G144" s="3"/>
    </row>
    <row r="145" spans="1:7">
      <c r="A145" s="101" t="s">
        <v>267</v>
      </c>
      <c r="B145" s="83" t="s">
        <v>925</v>
      </c>
      <c r="C145" s="455">
        <v>43972</v>
      </c>
      <c r="D145" s="17">
        <v>52297</v>
      </c>
      <c r="E145" s="462">
        <f>+'1.mell._Össz_Mérleg2020'!C145</f>
        <v>51350</v>
      </c>
      <c r="G145" s="3"/>
    </row>
    <row r="146" spans="1:7">
      <c r="A146" s="94" t="s">
        <v>920</v>
      </c>
      <c r="B146" s="84" t="s">
        <v>926</v>
      </c>
      <c r="C146" s="456">
        <f>+C147+C148</f>
        <v>0</v>
      </c>
      <c r="D146" s="29">
        <f>+D147+D148</f>
        <v>0</v>
      </c>
      <c r="E146" s="463">
        <f>+E147+E148</f>
        <v>2647925</v>
      </c>
      <c r="G146" s="3"/>
    </row>
    <row r="147" spans="1:7" s="14" customFormat="1">
      <c r="A147" s="105" t="s">
        <v>921</v>
      </c>
      <c r="B147" s="90" t="s">
        <v>927</v>
      </c>
      <c r="C147" s="454"/>
      <c r="D147" s="55"/>
      <c r="E147" s="461">
        <f>+'1.mell._Össz_Mérleg2020'!C147</f>
        <v>15000</v>
      </c>
      <c r="G147" s="3"/>
    </row>
    <row r="148" spans="1:7" s="14" customFormat="1" ht="12.75" thickBot="1">
      <c r="A148" s="105" t="s">
        <v>922</v>
      </c>
      <c r="B148" s="90" t="s">
        <v>928</v>
      </c>
      <c r="C148" s="454"/>
      <c r="D148" s="55"/>
      <c r="E148" s="461">
        <f>+'1.mell._Össz_Mérleg2020'!C148</f>
        <v>2632925</v>
      </c>
      <c r="G148" s="3"/>
    </row>
    <row r="149" spans="1:7" s="3" customFormat="1" ht="12.75" thickBot="1">
      <c r="A149" s="99" t="s">
        <v>14</v>
      </c>
      <c r="B149" s="85" t="s">
        <v>310</v>
      </c>
      <c r="C149" s="157">
        <f>+C150+C159+C165</f>
        <v>706531</v>
      </c>
      <c r="D149" s="35">
        <f>+D150+D159+D165</f>
        <v>1068829</v>
      </c>
      <c r="E149" s="466">
        <f>+E150+E159+E165</f>
        <v>503980</v>
      </c>
    </row>
    <row r="150" spans="1:7" s="3" customFormat="1" ht="12.75" thickBot="1">
      <c r="A150" s="99" t="s">
        <v>13</v>
      </c>
      <c r="B150" s="80" t="s">
        <v>311</v>
      </c>
      <c r="C150" s="157">
        <f>+C152+C153+C154+C155+C156+C157+C158</f>
        <v>476531</v>
      </c>
      <c r="D150" s="35">
        <f>+D152+D153+D154+D155+D156+D157+D158</f>
        <v>815877</v>
      </c>
      <c r="E150" s="466">
        <f>+E152+E153+E154+E155+E156+E157+E158</f>
        <v>436722</v>
      </c>
    </row>
    <row r="151" spans="1:7" s="46" customFormat="1">
      <c r="A151" s="895" t="s">
        <v>930</v>
      </c>
      <c r="B151" s="896" t="s">
        <v>341</v>
      </c>
      <c r="C151" s="1391">
        <v>377145</v>
      </c>
      <c r="D151" s="1392"/>
      <c r="E151" s="465">
        <f>+'1.mell._Össz_Mérleg2020'!C151</f>
        <v>0</v>
      </c>
      <c r="G151" s="3"/>
    </row>
    <row r="152" spans="1:7">
      <c r="A152" s="100" t="s">
        <v>66</v>
      </c>
      <c r="B152" s="81" t="s">
        <v>151</v>
      </c>
      <c r="C152" s="457">
        <v>1102</v>
      </c>
      <c r="D152" s="42">
        <v>265</v>
      </c>
      <c r="E152" s="464">
        <f>+'1.mell._Össz_Mérleg2020'!C152</f>
        <v>11811</v>
      </c>
      <c r="G152" s="3"/>
    </row>
    <row r="153" spans="1:7">
      <c r="A153" s="101" t="s">
        <v>67</v>
      </c>
      <c r="B153" s="83" t="s">
        <v>152</v>
      </c>
      <c r="C153" s="455">
        <v>312152</v>
      </c>
      <c r="D153" s="17">
        <v>753110</v>
      </c>
      <c r="E153" s="462">
        <f>+'1.mell._Össz_Mérleg2020'!C153</f>
        <v>328543</v>
      </c>
      <c r="G153" s="3"/>
    </row>
    <row r="154" spans="1:7">
      <c r="A154" s="101" t="s">
        <v>68</v>
      </c>
      <c r="B154" s="83" t="s">
        <v>153</v>
      </c>
      <c r="C154" s="455">
        <v>19415</v>
      </c>
      <c r="D154" s="17">
        <v>3390</v>
      </c>
      <c r="E154" s="462">
        <f>+'1.mell._Össz_Mérleg2020'!C154</f>
        <v>3700</v>
      </c>
      <c r="G154" s="3"/>
    </row>
    <row r="155" spans="1:7">
      <c r="A155" s="101" t="s">
        <v>229</v>
      </c>
      <c r="B155" s="83" t="s">
        <v>154</v>
      </c>
      <c r="C155" s="455">
        <v>55680</v>
      </c>
      <c r="D155" s="17">
        <v>40252</v>
      </c>
      <c r="E155" s="462">
        <f>+'1.mell._Össz_Mérleg2020'!C155</f>
        <v>10449</v>
      </c>
      <c r="G155" s="3"/>
    </row>
    <row r="156" spans="1:7">
      <c r="A156" s="101" t="s">
        <v>230</v>
      </c>
      <c r="B156" s="83" t="s">
        <v>155</v>
      </c>
      <c r="C156" s="455">
        <v>5000</v>
      </c>
      <c r="D156" s="17"/>
      <c r="E156" s="462">
        <f>+'1.mell._Össz_Mérleg2020'!C156</f>
        <v>0</v>
      </c>
      <c r="G156" s="3"/>
    </row>
    <row r="157" spans="1:7">
      <c r="A157" s="101" t="s">
        <v>268</v>
      </c>
      <c r="B157" s="83" t="s">
        <v>156</v>
      </c>
      <c r="C157" s="455">
        <v>0</v>
      </c>
      <c r="D157" s="17"/>
      <c r="E157" s="462">
        <f>+'1.mell._Össz_Mérleg2020'!C157</f>
        <v>0</v>
      </c>
      <c r="G157" s="3"/>
    </row>
    <row r="158" spans="1:7" ht="12.75" thickBot="1">
      <c r="A158" s="94" t="s">
        <v>269</v>
      </c>
      <c r="B158" s="84" t="s">
        <v>157</v>
      </c>
      <c r="C158" s="456">
        <v>83182</v>
      </c>
      <c r="D158" s="29">
        <v>18860</v>
      </c>
      <c r="E158" s="463">
        <f>+'1.mell._Össz_Mérleg2020'!C158</f>
        <v>82219</v>
      </c>
      <c r="G158" s="3"/>
    </row>
    <row r="159" spans="1:7" s="3" customFormat="1" ht="12.75" thickBot="1">
      <c r="A159" s="99" t="s">
        <v>12</v>
      </c>
      <c r="B159" s="80" t="s">
        <v>312</v>
      </c>
      <c r="C159" s="157">
        <f>+C161+C162+C163+C164</f>
        <v>228800</v>
      </c>
      <c r="D159" s="35">
        <f>+D161+D162+D163+D164</f>
        <v>252934</v>
      </c>
      <c r="E159" s="466">
        <f>+E161+E162+E163+E164</f>
        <v>67258</v>
      </c>
    </row>
    <row r="160" spans="1:7" s="46" customFormat="1">
      <c r="A160" s="895" t="s">
        <v>343</v>
      </c>
      <c r="B160" s="896" t="s">
        <v>344</v>
      </c>
      <c r="C160" s="1391">
        <v>212673</v>
      </c>
      <c r="D160" s="1392"/>
      <c r="E160" s="465">
        <f>+'1.mell._Össz_Mérleg2020'!C160</f>
        <v>0</v>
      </c>
      <c r="G160" s="3"/>
    </row>
    <row r="161" spans="1:7">
      <c r="A161" s="100" t="s">
        <v>69</v>
      </c>
      <c r="B161" s="81" t="s">
        <v>158</v>
      </c>
      <c r="C161" s="457">
        <v>178158</v>
      </c>
      <c r="D161" s="42">
        <v>209003</v>
      </c>
      <c r="E161" s="464">
        <f>+'1.mell._Össz_Mérleg2020'!C161</f>
        <v>52959</v>
      </c>
      <c r="G161" s="3"/>
    </row>
    <row r="162" spans="1:7">
      <c r="A162" s="101" t="s">
        <v>70</v>
      </c>
      <c r="B162" s="83" t="s">
        <v>159</v>
      </c>
      <c r="C162" s="455">
        <v>0</v>
      </c>
      <c r="D162" s="17"/>
      <c r="E162" s="462">
        <f>+'1.mell._Össz_Mérleg2020'!C162</f>
        <v>0</v>
      </c>
      <c r="G162" s="3"/>
    </row>
    <row r="163" spans="1:7">
      <c r="A163" s="101" t="s">
        <v>71</v>
      </c>
      <c r="B163" s="83" t="s">
        <v>160</v>
      </c>
      <c r="C163" s="455">
        <v>2109</v>
      </c>
      <c r="D163" s="17"/>
      <c r="E163" s="462">
        <f>+'1.mell._Össz_Mérleg2020'!C163</f>
        <v>0</v>
      </c>
      <c r="G163" s="3"/>
    </row>
    <row r="164" spans="1:7" ht="12.75" thickBot="1">
      <c r="A164" s="94" t="s">
        <v>72</v>
      </c>
      <c r="B164" s="84" t="s">
        <v>161</v>
      </c>
      <c r="C164" s="456">
        <v>48533</v>
      </c>
      <c r="D164" s="29">
        <v>43931</v>
      </c>
      <c r="E164" s="463">
        <f>+'1.mell._Össz_Mérleg2020'!C164</f>
        <v>14299</v>
      </c>
      <c r="G164" s="3"/>
    </row>
    <row r="165" spans="1:7" s="3" customFormat="1" ht="12.75" thickBot="1">
      <c r="A165" s="99" t="s">
        <v>11</v>
      </c>
      <c r="B165" s="80" t="s">
        <v>932</v>
      </c>
      <c r="C165" s="157">
        <f>+C166+C167+C168+C169+C171+C172+C173+C174+C175</f>
        <v>1200</v>
      </c>
      <c r="D165" s="35">
        <f>+D166+D167+D168+D169+D171+D172+D173+D174+D175</f>
        <v>18</v>
      </c>
      <c r="E165" s="466">
        <f>+E166+E167+E168+E169+E171+E172+E173+E174+E175</f>
        <v>0</v>
      </c>
    </row>
    <row r="166" spans="1:7">
      <c r="A166" s="100" t="s">
        <v>270</v>
      </c>
      <c r="B166" s="81" t="s">
        <v>162</v>
      </c>
      <c r="C166" s="457"/>
      <c r="D166" s="42"/>
      <c r="E166" s="464">
        <f>+'1.mell._Össz_Mérleg2020'!C166</f>
        <v>0</v>
      </c>
      <c r="G166" s="3"/>
    </row>
    <row r="167" spans="1:7">
      <c r="A167" s="101" t="s">
        <v>271</v>
      </c>
      <c r="B167" s="83" t="s">
        <v>163</v>
      </c>
      <c r="C167" s="455"/>
      <c r="D167" s="17"/>
      <c r="E167" s="462">
        <f>+'1.mell._Össz_Mérleg2020'!C167</f>
        <v>0</v>
      </c>
      <c r="G167" s="3"/>
    </row>
    <row r="168" spans="1:7">
      <c r="A168" s="101" t="s">
        <v>272</v>
      </c>
      <c r="B168" s="83" t="s">
        <v>164</v>
      </c>
      <c r="C168" s="455"/>
      <c r="D168" s="17"/>
      <c r="E168" s="462">
        <f>+'1.mell._Össz_Mérleg2020'!C168</f>
        <v>0</v>
      </c>
      <c r="G168" s="3"/>
    </row>
    <row r="169" spans="1:7">
      <c r="A169" s="101" t="s">
        <v>273</v>
      </c>
      <c r="B169" s="83" t="s">
        <v>165</v>
      </c>
      <c r="C169" s="455">
        <v>1200</v>
      </c>
      <c r="D169" s="17"/>
      <c r="E169" s="462">
        <f>+'1.mell._Össz_Mérleg2020'!C169</f>
        <v>0</v>
      </c>
      <c r="G169" s="3"/>
    </row>
    <row r="170" spans="1:7" s="14" customFormat="1">
      <c r="A170" s="105" t="s">
        <v>338</v>
      </c>
      <c r="B170" s="894" t="s">
        <v>339</v>
      </c>
      <c r="C170" s="454"/>
      <c r="D170" s="55"/>
      <c r="E170" s="461">
        <f>+'1.mell._Össz_Mérleg2020'!C170</f>
        <v>0</v>
      </c>
      <c r="G170" s="3"/>
    </row>
    <row r="171" spans="1:7">
      <c r="A171" s="101" t="s">
        <v>274</v>
      </c>
      <c r="B171" s="83" t="s">
        <v>166</v>
      </c>
      <c r="C171" s="455"/>
      <c r="D171" s="17"/>
      <c r="E171" s="462">
        <f>+'1.mell._Össz_Mérleg2020'!C171</f>
        <v>0</v>
      </c>
      <c r="G171" s="3"/>
    </row>
    <row r="172" spans="1:7">
      <c r="A172" s="101" t="s">
        <v>275</v>
      </c>
      <c r="B172" s="83" t="s">
        <v>167</v>
      </c>
      <c r="C172" s="455"/>
      <c r="D172" s="17"/>
      <c r="E172" s="462">
        <f>+'1.mell._Össz_Mérleg2020'!C172</f>
        <v>0</v>
      </c>
      <c r="G172" s="3"/>
    </row>
    <row r="173" spans="1:7">
      <c r="A173" s="101" t="s">
        <v>276</v>
      </c>
      <c r="B173" s="83" t="s">
        <v>168</v>
      </c>
      <c r="C173" s="455"/>
      <c r="D173" s="17"/>
      <c r="E173" s="462">
        <f>+'1.mell._Össz_Mérleg2020'!C173</f>
        <v>0</v>
      </c>
      <c r="G173" s="3"/>
    </row>
    <row r="174" spans="1:7">
      <c r="A174" s="101" t="s">
        <v>277</v>
      </c>
      <c r="B174" s="83" t="s">
        <v>933</v>
      </c>
      <c r="C174" s="455"/>
      <c r="D174" s="17"/>
      <c r="E174" s="462">
        <f>+'1.mell._Össz_Mérleg2020'!C174</f>
        <v>0</v>
      </c>
      <c r="G174" s="3"/>
    </row>
    <row r="175" spans="1:7" ht="12.75" thickBot="1">
      <c r="A175" s="94" t="s">
        <v>931</v>
      </c>
      <c r="B175" s="84" t="s">
        <v>934</v>
      </c>
      <c r="C175" s="456"/>
      <c r="D175" s="29">
        <v>18</v>
      </c>
      <c r="E175" s="463">
        <f>+'1.mell._Össz_Mérleg2020'!C175</f>
        <v>0</v>
      </c>
      <c r="G175" s="3"/>
    </row>
    <row r="176" spans="1:7" s="3" customFormat="1" ht="12.75" thickBot="1">
      <c r="A176" s="99" t="s">
        <v>10</v>
      </c>
      <c r="B176" s="85" t="s">
        <v>313</v>
      </c>
      <c r="C176" s="157">
        <f>+C109+C149</f>
        <v>2513536</v>
      </c>
      <c r="D176" s="35">
        <f>+D109+D149</f>
        <v>3032485</v>
      </c>
      <c r="E176" s="466">
        <f>+E109+E149</f>
        <v>4522728</v>
      </c>
    </row>
    <row r="177" spans="1:7" s="3" customFormat="1" ht="12.75" thickBot="1">
      <c r="A177" s="99" t="s">
        <v>9</v>
      </c>
      <c r="B177" s="86" t="s">
        <v>314</v>
      </c>
      <c r="C177" s="157">
        <f>+C178</f>
        <v>110911</v>
      </c>
      <c r="D177" s="35">
        <f>+D178</f>
        <v>91948</v>
      </c>
      <c r="E177" s="466">
        <f>+E178</f>
        <v>30446</v>
      </c>
    </row>
    <row r="178" spans="1:7" s="3" customFormat="1" ht="12.75" thickBot="1">
      <c r="A178" s="99" t="s">
        <v>45</v>
      </c>
      <c r="B178" s="80" t="s">
        <v>941</v>
      </c>
      <c r="C178" s="157">
        <f>+C179+C189+C190+C191</f>
        <v>110911</v>
      </c>
      <c r="D178" s="35">
        <f>+D179+D189+D190+D191</f>
        <v>91948</v>
      </c>
      <c r="E178" s="466">
        <f>+E179+E189+E190+E191</f>
        <v>30446</v>
      </c>
    </row>
    <row r="179" spans="1:7">
      <c r="A179" s="100" t="s">
        <v>75</v>
      </c>
      <c r="B179" s="81" t="s">
        <v>942</v>
      </c>
      <c r="C179" s="457">
        <f>+C180+C181+C182+C183+C184+C185+C186+C187+C188</f>
        <v>110911</v>
      </c>
      <c r="D179" s="42">
        <f>+D180+D181+D182+D183+D184+D185+D186+D187+D188</f>
        <v>91948</v>
      </c>
      <c r="E179" s="464">
        <f>+E180+E181+E182+E183+E184+E185+E186+E187+E188</f>
        <v>30446</v>
      </c>
      <c r="G179" s="3"/>
    </row>
    <row r="180" spans="1:7" s="14" customFormat="1">
      <c r="A180" s="102" t="s">
        <v>204</v>
      </c>
      <c r="B180" s="82" t="s">
        <v>169</v>
      </c>
      <c r="C180" s="453">
        <v>85565</v>
      </c>
      <c r="D180" s="16">
        <v>65277</v>
      </c>
      <c r="E180" s="460">
        <f>+'1.mell._Össz_Mérleg2020'!C180</f>
        <v>0</v>
      </c>
      <c r="G180" s="3"/>
    </row>
    <row r="181" spans="1:7" s="14" customFormat="1">
      <c r="A181" s="102" t="s">
        <v>205</v>
      </c>
      <c r="B181" s="82" t="s">
        <v>170</v>
      </c>
      <c r="C181" s="453"/>
      <c r="D181" s="16"/>
      <c r="E181" s="460">
        <f>+'1.mell._Össz_Mérleg2020'!C181</f>
        <v>0</v>
      </c>
      <c r="G181" s="3"/>
    </row>
    <row r="182" spans="1:7" s="14" customFormat="1">
      <c r="A182" s="102" t="s">
        <v>206</v>
      </c>
      <c r="B182" s="82" t="s">
        <v>171</v>
      </c>
      <c r="C182" s="453"/>
      <c r="D182" s="16"/>
      <c r="E182" s="460">
        <f>+'1.mell._Össz_Mérleg2020'!C182</f>
        <v>0</v>
      </c>
      <c r="G182" s="3"/>
    </row>
    <row r="183" spans="1:7" s="14" customFormat="1">
      <c r="A183" s="102" t="s">
        <v>207</v>
      </c>
      <c r="B183" s="82" t="s">
        <v>172</v>
      </c>
      <c r="C183" s="453">
        <v>25346</v>
      </c>
      <c r="D183" s="16">
        <v>26671</v>
      </c>
      <c r="E183" s="460">
        <f>+'1.mell._Össz_Mérleg2020'!C183</f>
        <v>30446</v>
      </c>
      <c r="G183" s="3"/>
    </row>
    <row r="184" spans="1:7" s="14" customFormat="1">
      <c r="A184" s="121" t="s">
        <v>208</v>
      </c>
      <c r="B184" s="122" t="s">
        <v>173</v>
      </c>
      <c r="C184" s="452"/>
      <c r="D184" s="126"/>
      <c r="E184" s="459">
        <f>+'1.mell._Össz_Mérleg2020'!C184</f>
        <v>0</v>
      </c>
      <c r="G184" s="3"/>
    </row>
    <row r="185" spans="1:7" s="14" customFormat="1">
      <c r="A185" s="102" t="s">
        <v>209</v>
      </c>
      <c r="B185" s="82" t="s">
        <v>178</v>
      </c>
      <c r="C185" s="453"/>
      <c r="D185" s="16"/>
      <c r="E185" s="460">
        <f>+'1.mell._Össz_Mérleg2020'!C185</f>
        <v>0</v>
      </c>
      <c r="G185" s="3"/>
    </row>
    <row r="186" spans="1:7" s="14" customFormat="1">
      <c r="A186" s="102" t="s">
        <v>210</v>
      </c>
      <c r="B186" s="82" t="s">
        <v>174</v>
      </c>
      <c r="C186" s="453"/>
      <c r="D186" s="16"/>
      <c r="E186" s="460">
        <f>+'1.mell._Össz_Mérleg2020'!C186</f>
        <v>0</v>
      </c>
      <c r="G186" s="3"/>
    </row>
    <row r="187" spans="1:7" s="14" customFormat="1">
      <c r="A187" s="102" t="s">
        <v>211</v>
      </c>
      <c r="B187" s="82" t="s">
        <v>175</v>
      </c>
      <c r="C187" s="453"/>
      <c r="D187" s="16"/>
      <c r="E187" s="460">
        <f>+'1.mell._Össz_Mérleg2020'!C187</f>
        <v>0</v>
      </c>
      <c r="G187" s="3"/>
    </row>
    <row r="188" spans="1:7" s="14" customFormat="1">
      <c r="A188" s="102" t="s">
        <v>935</v>
      </c>
      <c r="B188" s="82" t="s">
        <v>937</v>
      </c>
      <c r="C188" s="453"/>
      <c r="D188" s="16"/>
      <c r="E188" s="460">
        <f>+'1.mell._Össz_Mérleg2020'!C188</f>
        <v>0</v>
      </c>
      <c r="G188" s="3"/>
    </row>
    <row r="189" spans="1:7">
      <c r="A189" s="101" t="s">
        <v>76</v>
      </c>
      <c r="B189" s="83" t="s">
        <v>176</v>
      </c>
      <c r="C189" s="455"/>
      <c r="D189" s="17"/>
      <c r="E189" s="462">
        <f>+'1.mell._Össz_Mérleg2020'!C189</f>
        <v>0</v>
      </c>
      <c r="G189" s="3"/>
    </row>
    <row r="190" spans="1:7">
      <c r="A190" s="94" t="s">
        <v>77</v>
      </c>
      <c r="B190" s="84" t="s">
        <v>177</v>
      </c>
      <c r="C190" s="456"/>
      <c r="D190" s="29"/>
      <c r="E190" s="463">
        <f>+'1.mell._Össz_Mérleg2020'!C190</f>
        <v>0</v>
      </c>
      <c r="G190" s="3"/>
    </row>
    <row r="191" spans="1:7" ht="12.75" thickBot="1">
      <c r="A191" s="94" t="s">
        <v>940</v>
      </c>
      <c r="B191" s="84" t="s">
        <v>938</v>
      </c>
      <c r="C191" s="456"/>
      <c r="D191" s="29"/>
      <c r="E191" s="463">
        <f>+'1.mell._Össz_Mérleg2020'!C191</f>
        <v>0</v>
      </c>
      <c r="G191" s="3"/>
    </row>
    <row r="192" spans="1:7" s="3" customFormat="1" ht="12.75" thickBot="1">
      <c r="A192" s="99" t="s">
        <v>44</v>
      </c>
      <c r="B192" s="85" t="s">
        <v>315</v>
      </c>
      <c r="C192" s="157">
        <f>+C193</f>
        <v>0</v>
      </c>
      <c r="D192" s="35">
        <f>+D193</f>
        <v>0</v>
      </c>
      <c r="E192" s="466">
        <f>+E193</f>
        <v>0</v>
      </c>
    </row>
    <row r="193" spans="1:7" s="3" customFormat="1" ht="12.75" thickBot="1">
      <c r="A193" s="99" t="s">
        <v>43</v>
      </c>
      <c r="B193" s="80" t="s">
        <v>936</v>
      </c>
      <c r="C193" s="157">
        <f>+C194+C204+C205+C206</f>
        <v>0</v>
      </c>
      <c r="D193" s="35">
        <f>+D194+D204+D205+D206</f>
        <v>0</v>
      </c>
      <c r="E193" s="466">
        <f>+E194+E204+E205+E206</f>
        <v>0</v>
      </c>
    </row>
    <row r="194" spans="1:7">
      <c r="A194" s="100" t="s">
        <v>78</v>
      </c>
      <c r="B194" s="81" t="s">
        <v>971</v>
      </c>
      <c r="C194" s="457">
        <f>+C195+C196+C197+C198+C199+C200+C201+C202+C203</f>
        <v>0</v>
      </c>
      <c r="D194" s="42">
        <f>+D195+D196+D197+D198+D199+D200+D201+D202+D203</f>
        <v>0</v>
      </c>
      <c r="E194" s="464">
        <f>+E195+E196+E197+E198+E199+E200+E201+E202+E203</f>
        <v>0</v>
      </c>
      <c r="G194" s="3"/>
    </row>
    <row r="195" spans="1:7" s="14" customFormat="1">
      <c r="A195" s="102" t="s">
        <v>212</v>
      </c>
      <c r="B195" s="82" t="s">
        <v>169</v>
      </c>
      <c r="C195" s="453"/>
      <c r="D195" s="16"/>
      <c r="E195" s="460">
        <f>+'1.mell._Össz_Mérleg2020'!C195</f>
        <v>0</v>
      </c>
      <c r="G195" s="3"/>
    </row>
    <row r="196" spans="1:7" s="14" customFormat="1">
      <c r="A196" s="102" t="s">
        <v>213</v>
      </c>
      <c r="B196" s="82" t="s">
        <v>170</v>
      </c>
      <c r="C196" s="453"/>
      <c r="D196" s="16"/>
      <c r="E196" s="460">
        <f>+'1.mell._Össz_Mérleg2020'!C196</f>
        <v>0</v>
      </c>
      <c r="G196" s="3"/>
    </row>
    <row r="197" spans="1:7" s="14" customFormat="1">
      <c r="A197" s="102" t="s">
        <v>214</v>
      </c>
      <c r="B197" s="82" t="s">
        <v>171</v>
      </c>
      <c r="C197" s="453"/>
      <c r="D197" s="16"/>
      <c r="E197" s="460">
        <f>+'1.mell._Össz_Mérleg2020'!C197</f>
        <v>0</v>
      </c>
      <c r="G197" s="3"/>
    </row>
    <row r="198" spans="1:7" s="14" customFormat="1">
      <c r="A198" s="102" t="s">
        <v>215</v>
      </c>
      <c r="B198" s="82" t="s">
        <v>172</v>
      </c>
      <c r="C198" s="453"/>
      <c r="D198" s="16"/>
      <c r="E198" s="460">
        <f>+'1.mell._Össz_Mérleg2020'!C198</f>
        <v>0</v>
      </c>
      <c r="G198" s="3"/>
    </row>
    <row r="199" spans="1:7" s="14" customFormat="1">
      <c r="A199" s="121" t="s">
        <v>216</v>
      </c>
      <c r="B199" s="122" t="s">
        <v>173</v>
      </c>
      <c r="C199" s="452"/>
      <c r="D199" s="126"/>
      <c r="E199" s="459">
        <f>+'1.mell._Össz_Mérleg2020'!C199</f>
        <v>0</v>
      </c>
      <c r="G199" s="3"/>
    </row>
    <row r="200" spans="1:7" s="14" customFormat="1">
      <c r="A200" s="102" t="s">
        <v>217</v>
      </c>
      <c r="B200" s="82" t="s">
        <v>178</v>
      </c>
      <c r="C200" s="453"/>
      <c r="D200" s="16"/>
      <c r="E200" s="460">
        <f>+'1.mell._Össz_Mérleg2020'!C200</f>
        <v>0</v>
      </c>
      <c r="G200" s="3"/>
    </row>
    <row r="201" spans="1:7" s="14" customFormat="1">
      <c r="A201" s="102" t="s">
        <v>218</v>
      </c>
      <c r="B201" s="82" t="s">
        <v>174</v>
      </c>
      <c r="C201" s="453"/>
      <c r="D201" s="16"/>
      <c r="E201" s="460">
        <f>+'1.mell._Össz_Mérleg2020'!C201</f>
        <v>0</v>
      </c>
      <c r="G201" s="3"/>
    </row>
    <row r="202" spans="1:7" s="14" customFormat="1">
      <c r="A202" s="102" t="s">
        <v>219</v>
      </c>
      <c r="B202" s="82" t="s">
        <v>175</v>
      </c>
      <c r="C202" s="453"/>
      <c r="D202" s="16"/>
      <c r="E202" s="460">
        <f>+'1.mell._Össz_Mérleg2020'!C202</f>
        <v>0</v>
      </c>
      <c r="G202" s="3"/>
    </row>
    <row r="203" spans="1:7" s="14" customFormat="1">
      <c r="A203" s="102" t="s">
        <v>935</v>
      </c>
      <c r="B203" s="82" t="s">
        <v>937</v>
      </c>
      <c r="C203" s="453"/>
      <c r="D203" s="16"/>
      <c r="E203" s="460">
        <f>+'1.mell._Össz_Mérleg2020'!C203</f>
        <v>0</v>
      </c>
      <c r="G203" s="3"/>
    </row>
    <row r="204" spans="1:7">
      <c r="A204" s="101" t="s">
        <v>79</v>
      </c>
      <c r="B204" s="83" t="s">
        <v>176</v>
      </c>
      <c r="C204" s="455"/>
      <c r="D204" s="17"/>
      <c r="E204" s="462">
        <f>+'1.mell._Össz_Mérleg2020'!C204</f>
        <v>0</v>
      </c>
      <c r="G204" s="3"/>
    </row>
    <row r="205" spans="1:7">
      <c r="A205" s="94" t="s">
        <v>220</v>
      </c>
      <c r="B205" s="84" t="s">
        <v>177</v>
      </c>
      <c r="C205" s="456"/>
      <c r="D205" s="29"/>
      <c r="E205" s="463">
        <f>+'1.mell._Össz_Mérleg2020'!C205</f>
        <v>0</v>
      </c>
      <c r="G205" s="3"/>
    </row>
    <row r="206" spans="1:7" ht="12.75" thickBot="1">
      <c r="A206" s="94" t="s">
        <v>939</v>
      </c>
      <c r="B206" s="84" t="s">
        <v>938</v>
      </c>
      <c r="C206" s="456"/>
      <c r="D206" s="29"/>
      <c r="E206" s="463">
        <f>+'1.mell._Össz_Mérleg2020'!C206</f>
        <v>0</v>
      </c>
      <c r="G206" s="3"/>
    </row>
    <row r="207" spans="1:7" s="3" customFormat="1" ht="12.75" thickBot="1">
      <c r="A207" s="99" t="s">
        <v>40</v>
      </c>
      <c r="B207" s="85" t="s">
        <v>316</v>
      </c>
      <c r="C207" s="157">
        <f>+C177+C192</f>
        <v>110911</v>
      </c>
      <c r="D207" s="35">
        <f>+D177+D192</f>
        <v>91948</v>
      </c>
      <c r="E207" s="466">
        <f>+E177+E192</f>
        <v>30446</v>
      </c>
    </row>
    <row r="208" spans="1:7" s="3" customFormat="1" ht="12.75" thickBot="1">
      <c r="A208" s="103" t="s">
        <v>39</v>
      </c>
      <c r="B208" s="87" t="s">
        <v>334</v>
      </c>
      <c r="C208" s="451">
        <f>+C176+C207</f>
        <v>2624447</v>
      </c>
      <c r="D208" s="32">
        <f>+D176+D207</f>
        <v>3124433</v>
      </c>
      <c r="E208" s="458">
        <f>+E176+E207</f>
        <v>4553174</v>
      </c>
    </row>
    <row r="209" spans="1:26" s="14" customFormat="1">
      <c r="G209" s="3"/>
    </row>
    <row r="210" spans="1:26" s="46" customFormat="1">
      <c r="G210" s="3"/>
    </row>
    <row r="211" spans="1:26" s="1" customFormat="1" ht="15.75">
      <c r="A211" s="1211" t="s">
        <v>89</v>
      </c>
      <c r="B211" s="1211"/>
      <c r="C211" s="1211"/>
      <c r="D211" s="1211"/>
      <c r="E211" s="1211"/>
      <c r="F211" s="2"/>
      <c r="G211" s="3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s="46" customFormat="1" ht="12.75" thickBot="1">
      <c r="A212" s="48" t="s">
        <v>281</v>
      </c>
      <c r="E212" s="47" t="s">
        <v>280</v>
      </c>
      <c r="G212" s="3"/>
    </row>
    <row r="213" spans="1:26" s="3" customFormat="1" ht="12.75" thickBot="1">
      <c r="A213" s="99" t="s">
        <v>4</v>
      </c>
      <c r="B213" s="85" t="s">
        <v>317</v>
      </c>
      <c r="C213" s="157">
        <f>+C214+C215</f>
        <v>904444</v>
      </c>
      <c r="D213" s="35">
        <f>+D214+D215</f>
        <v>226057</v>
      </c>
      <c r="E213" s="466">
        <f>+E214+E215</f>
        <v>-2855803</v>
      </c>
    </row>
    <row r="214" spans="1:26">
      <c r="A214" s="100" t="s">
        <v>81</v>
      </c>
      <c r="B214" s="88" t="s">
        <v>318</v>
      </c>
      <c r="C214" s="457">
        <f>+C10-C109</f>
        <v>269938</v>
      </c>
      <c r="D214" s="42">
        <f>+D10-D109</f>
        <v>74318</v>
      </c>
      <c r="E214" s="464">
        <f>+E10-E109</f>
        <v>-2425549</v>
      </c>
      <c r="G214" s="3"/>
    </row>
    <row r="215" spans="1:26" ht="12.75" thickBot="1">
      <c r="A215" s="104" t="s">
        <v>82</v>
      </c>
      <c r="B215" s="89" t="s">
        <v>319</v>
      </c>
      <c r="C215" s="450">
        <f>+C50-C149</f>
        <v>634506</v>
      </c>
      <c r="D215" s="50">
        <f>+D50-D149</f>
        <v>151739</v>
      </c>
      <c r="E215" s="449">
        <f>+E50-E149</f>
        <v>-430254</v>
      </c>
      <c r="G215" s="3"/>
    </row>
    <row r="216" spans="1:26">
      <c r="G216" s="3"/>
    </row>
    <row r="217" spans="1:26">
      <c r="G217" s="3"/>
    </row>
    <row r="218" spans="1:26" s="1" customFormat="1" ht="15.75">
      <c r="A218" s="1211" t="s">
        <v>90</v>
      </c>
      <c r="B218" s="1211"/>
      <c r="C218" s="1211"/>
      <c r="D218" s="1211"/>
      <c r="E218" s="1211"/>
      <c r="F218" s="2"/>
      <c r="G218" s="3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s="46" customFormat="1" ht="12.75" thickBot="1">
      <c r="A219" s="48" t="s">
        <v>282</v>
      </c>
      <c r="E219" s="47" t="s">
        <v>280</v>
      </c>
      <c r="G219" s="3"/>
    </row>
    <row r="220" spans="1:26" s="3" customFormat="1" ht="12.75" thickBot="1">
      <c r="A220" s="99" t="s">
        <v>4</v>
      </c>
      <c r="B220" s="85" t="s">
        <v>320</v>
      </c>
      <c r="C220" s="157">
        <f>+C221+C228</f>
        <v>2196437</v>
      </c>
      <c r="D220" s="35">
        <f>+D221+D228</f>
        <v>3104656</v>
      </c>
      <c r="E220" s="466">
        <f>+E221+E228</f>
        <v>2855803</v>
      </c>
    </row>
    <row r="221" spans="1:26" s="3" customFormat="1" ht="12.75" thickBot="1">
      <c r="A221" s="99" t="s">
        <v>5</v>
      </c>
      <c r="B221" s="80" t="s">
        <v>321</v>
      </c>
      <c r="C221" s="157">
        <f>+C222-C225</f>
        <v>338649</v>
      </c>
      <c r="D221" s="35">
        <f>+D222-D225</f>
        <v>3104656</v>
      </c>
      <c r="E221" s="466">
        <f>+E222-E225</f>
        <v>2845803</v>
      </c>
    </row>
    <row r="222" spans="1:26">
      <c r="A222" s="100" t="s">
        <v>54</v>
      </c>
      <c r="B222" s="81" t="s">
        <v>322</v>
      </c>
      <c r="C222" s="457">
        <f>+C223+C224</f>
        <v>449560</v>
      </c>
      <c r="D222" s="42">
        <f>+D223+D224</f>
        <v>3196604</v>
      </c>
      <c r="E222" s="464">
        <f>+E223+E224</f>
        <v>2876249</v>
      </c>
      <c r="G222" s="3"/>
    </row>
    <row r="223" spans="1:26" s="14" customFormat="1">
      <c r="A223" s="102" t="s">
        <v>189</v>
      </c>
      <c r="B223" s="82" t="s">
        <v>284</v>
      </c>
      <c r="C223" s="453">
        <f>+C76+C80</f>
        <v>337324</v>
      </c>
      <c r="D223" s="16">
        <f>+D76+D80</f>
        <v>3100881</v>
      </c>
      <c r="E223" s="460">
        <f>+E76+E80</f>
        <v>2876249</v>
      </c>
      <c r="G223" s="3"/>
    </row>
    <row r="224" spans="1:26" s="14" customFormat="1">
      <c r="A224" s="102" t="s">
        <v>190</v>
      </c>
      <c r="B224" s="82" t="s">
        <v>285</v>
      </c>
      <c r="C224" s="453">
        <f>+C74+C75+C77+C78+C79+C81</f>
        <v>112236</v>
      </c>
      <c r="D224" s="16">
        <f>+D74+D75+D77+D78+D79+D81</f>
        <v>95723</v>
      </c>
      <c r="E224" s="460">
        <f>+E74+E75+E77+E78+E79+E81</f>
        <v>0</v>
      </c>
      <c r="G224" s="3"/>
    </row>
    <row r="225" spans="1:26">
      <c r="A225" s="101" t="s">
        <v>55</v>
      </c>
      <c r="B225" s="83" t="s">
        <v>323</v>
      </c>
      <c r="C225" s="455">
        <f>+C227</f>
        <v>110911</v>
      </c>
      <c r="D225" s="17">
        <f>+D227</f>
        <v>91948</v>
      </c>
      <c r="E225" s="462">
        <f>+E227</f>
        <v>30446</v>
      </c>
      <c r="G225" s="3"/>
    </row>
    <row r="226" spans="1:26" s="14" customFormat="1">
      <c r="A226" s="102" t="s">
        <v>56</v>
      </c>
      <c r="B226" s="82" t="s">
        <v>286</v>
      </c>
      <c r="C226" s="453">
        <f>+C185</f>
        <v>0</v>
      </c>
      <c r="D226" s="16">
        <f>+D185</f>
        <v>0</v>
      </c>
      <c r="E226" s="460">
        <f>+E185</f>
        <v>0</v>
      </c>
      <c r="G226" s="3"/>
    </row>
    <row r="227" spans="1:26" s="14" customFormat="1" ht="12.75" thickBot="1">
      <c r="A227" s="105" t="s">
        <v>57</v>
      </c>
      <c r="B227" s="90" t="s">
        <v>287</v>
      </c>
      <c r="C227" s="454">
        <f>+C180+C181+C182+C183+C184+C186+C187</f>
        <v>110911</v>
      </c>
      <c r="D227" s="55">
        <f>+D180+D181+D182+D183+D184+D186+D187</f>
        <v>91948</v>
      </c>
      <c r="E227" s="461">
        <f>+E180+E181+E182+E183+E184+E186+E187</f>
        <v>30446</v>
      </c>
      <c r="G227" s="3"/>
    </row>
    <row r="228" spans="1:26" s="3" customFormat="1" ht="12.75" thickBot="1">
      <c r="A228" s="99" t="s">
        <v>6</v>
      </c>
      <c r="B228" s="80" t="s">
        <v>324</v>
      </c>
      <c r="C228" s="157">
        <f>+C229-C232</f>
        <v>1857788</v>
      </c>
      <c r="D228" s="35">
        <f>+D229-D232</f>
        <v>0</v>
      </c>
      <c r="E228" s="466">
        <f>+E229-E232</f>
        <v>10000</v>
      </c>
    </row>
    <row r="229" spans="1:26">
      <c r="A229" s="100" t="s">
        <v>58</v>
      </c>
      <c r="B229" s="81" t="s">
        <v>325</v>
      </c>
      <c r="C229" s="457">
        <f>+C230+C231</f>
        <v>1857788</v>
      </c>
      <c r="D229" s="42">
        <f>+D230+D231</f>
        <v>0</v>
      </c>
      <c r="E229" s="464">
        <f>+E230+E231</f>
        <v>10000</v>
      </c>
      <c r="G229" s="3"/>
    </row>
    <row r="230" spans="1:26" s="14" customFormat="1">
      <c r="A230" s="102" t="s">
        <v>292</v>
      </c>
      <c r="B230" s="82" t="s">
        <v>290</v>
      </c>
      <c r="C230" s="453">
        <f>+C91+C95</f>
        <v>1857788</v>
      </c>
      <c r="D230" s="16">
        <f>+D91+D95</f>
        <v>0</v>
      </c>
      <c r="E230" s="460">
        <f>+E91+E95</f>
        <v>0</v>
      </c>
      <c r="G230" s="3"/>
    </row>
    <row r="231" spans="1:26" s="14" customFormat="1">
      <c r="A231" s="102" t="s">
        <v>293</v>
      </c>
      <c r="B231" s="82" t="s">
        <v>291</v>
      </c>
      <c r="C231" s="453">
        <f>+C89+C90+C92+C93+C94+C96</f>
        <v>0</v>
      </c>
      <c r="D231" s="16">
        <f>+D89+D90+D92+D93+D94+D96</f>
        <v>0</v>
      </c>
      <c r="E231" s="460">
        <f>+E89+E90+E92+E93+E94+E96</f>
        <v>10000</v>
      </c>
      <c r="G231" s="3"/>
    </row>
    <row r="232" spans="1:26">
      <c r="A232" s="101" t="s">
        <v>59</v>
      </c>
      <c r="B232" s="83" t="s">
        <v>326</v>
      </c>
      <c r="C232" s="455">
        <f>+C233+C234</f>
        <v>0</v>
      </c>
      <c r="D232" s="17">
        <f>+D233+D234</f>
        <v>0</v>
      </c>
      <c r="E232" s="462">
        <f>+E233+E234</f>
        <v>0</v>
      </c>
      <c r="G232" s="3"/>
    </row>
    <row r="233" spans="1:26" s="14" customFormat="1">
      <c r="A233" s="102" t="s">
        <v>294</v>
      </c>
      <c r="B233" s="82" t="s">
        <v>288</v>
      </c>
      <c r="C233" s="453">
        <f>+C200</f>
        <v>0</v>
      </c>
      <c r="D233" s="16">
        <f>+D200</f>
        <v>0</v>
      </c>
      <c r="E233" s="460">
        <f>+E200</f>
        <v>0</v>
      </c>
      <c r="G233" s="3"/>
    </row>
    <row r="234" spans="1:26" s="14" customFormat="1" ht="12.75" thickBot="1">
      <c r="A234" s="106" t="s">
        <v>295</v>
      </c>
      <c r="B234" s="91" t="s">
        <v>289</v>
      </c>
      <c r="C234" s="444">
        <f>+C195+C196+C197+C198+C199+C201+C202</f>
        <v>0</v>
      </c>
      <c r="D234" s="53">
        <f>+D195+D196+D197+D198+D199+D201+D202</f>
        <v>0</v>
      </c>
      <c r="E234" s="448">
        <f>+E195+E196+E197+E198+E199+E201+E202</f>
        <v>0</v>
      </c>
      <c r="G234" s="3"/>
    </row>
    <row r="235" spans="1:26">
      <c r="G235" s="3"/>
    </row>
    <row r="236" spans="1:26">
      <c r="G236" s="3"/>
    </row>
    <row r="237" spans="1:26" s="1" customFormat="1" ht="15.75">
      <c r="A237" s="1211" t="s">
        <v>1460</v>
      </c>
      <c r="B237" s="1211"/>
      <c r="C237" s="1211"/>
      <c r="D237" s="1211"/>
      <c r="E237" s="1211"/>
      <c r="F237" s="2"/>
      <c r="G237" s="3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s="46" customFormat="1" ht="12.75" thickBot="1">
      <c r="A238" s="48" t="s">
        <v>283</v>
      </c>
      <c r="E238" s="47"/>
      <c r="G238" s="3"/>
    </row>
    <row r="239" spans="1:26" s="3" customFormat="1">
      <c r="A239" s="107" t="s">
        <v>4</v>
      </c>
      <c r="B239" s="92" t="s">
        <v>91</v>
      </c>
      <c r="C239" s="1393">
        <v>214</v>
      </c>
      <c r="D239" s="1394">
        <f>(1+28)+(39+52)+68+8+3+18</f>
        <v>217</v>
      </c>
      <c r="E239" s="447">
        <f>+'1.mell._Össz_Mérleg2020'!C239</f>
        <v>196</v>
      </c>
    </row>
    <row r="240" spans="1:26" s="14" customFormat="1">
      <c r="A240" s="105" t="s">
        <v>350</v>
      </c>
      <c r="B240" s="116" t="s">
        <v>351</v>
      </c>
      <c r="C240" s="1395">
        <v>19</v>
      </c>
      <c r="D240" s="1396">
        <v>28</v>
      </c>
      <c r="E240" s="446">
        <f>+'1.mell._Össz_Mérleg2020'!C240</f>
        <v>0</v>
      </c>
      <c r="G240" s="3"/>
    </row>
    <row r="241" spans="1:7" s="3" customFormat="1" ht="12.75" thickBot="1">
      <c r="A241" s="108" t="s">
        <v>5</v>
      </c>
      <c r="B241" s="93" t="s">
        <v>92</v>
      </c>
      <c r="C241" s="1397">
        <v>164</v>
      </c>
      <c r="D241" s="1398">
        <v>121</v>
      </c>
      <c r="E241" s="445">
        <f>+'1.mell._Össz_Mérleg2020'!C241</f>
        <v>148</v>
      </c>
    </row>
    <row r="242" spans="1:7" s="3" customFormat="1" ht="12.75" thickBot="1">
      <c r="A242" s="99" t="s">
        <v>6</v>
      </c>
      <c r="B242" s="85" t="s">
        <v>329</v>
      </c>
      <c r="C242" s="1399">
        <f>+C239+C241</f>
        <v>378</v>
      </c>
      <c r="D242" s="1400">
        <f>+D239+D241</f>
        <v>338</v>
      </c>
      <c r="E242" s="469">
        <f>+E239+E241</f>
        <v>344</v>
      </c>
    </row>
    <row r="243" spans="1:7">
      <c r="G243" s="3"/>
    </row>
    <row r="244" spans="1:7" hidden="1">
      <c r="C244" s="4">
        <f>+C214+C221</f>
        <v>608587</v>
      </c>
      <c r="D244" s="4">
        <f>+D214+D221</f>
        <v>3178974</v>
      </c>
      <c r="E244" s="4">
        <f>+E214+E221</f>
        <v>420254</v>
      </c>
      <c r="G244" s="3"/>
    </row>
    <row r="245" spans="1:7" hidden="1">
      <c r="C245" s="4">
        <f>+C215+C228</f>
        <v>2492294</v>
      </c>
      <c r="D245" s="4">
        <f>+D215+D228</f>
        <v>151739</v>
      </c>
      <c r="E245" s="4">
        <f>+E215+E228</f>
        <v>-420254</v>
      </c>
      <c r="G245" s="3"/>
    </row>
    <row r="246" spans="1:7">
      <c r="G246" s="3"/>
    </row>
    <row r="247" spans="1:7">
      <c r="G247" s="3"/>
    </row>
    <row r="248" spans="1:7">
      <c r="G248" s="3"/>
    </row>
    <row r="249" spans="1:7">
      <c r="G249" s="3"/>
    </row>
    <row r="250" spans="1:7">
      <c r="G250" s="3"/>
    </row>
    <row r="251" spans="1:7">
      <c r="G251" s="3"/>
    </row>
    <row r="252" spans="1:7">
      <c r="G252" s="3"/>
    </row>
    <row r="253" spans="1:7">
      <c r="G253" s="3"/>
    </row>
    <row r="254" spans="1:7">
      <c r="G254" s="3"/>
    </row>
    <row r="255" spans="1:7">
      <c r="G255" s="3"/>
    </row>
    <row r="256" spans="1:7">
      <c r="G256" s="3"/>
    </row>
    <row r="257" spans="7:7">
      <c r="G257" s="3"/>
    </row>
    <row r="258" spans="7:7">
      <c r="G258" s="3"/>
    </row>
    <row r="259" spans="7:7">
      <c r="G259" s="3"/>
    </row>
    <row r="260" spans="7:7">
      <c r="G260" s="3"/>
    </row>
    <row r="261" spans="7:7">
      <c r="G261" s="3"/>
    </row>
    <row r="262" spans="7:7">
      <c r="G262" s="3"/>
    </row>
    <row r="263" spans="7:7">
      <c r="G263" s="3"/>
    </row>
    <row r="264" spans="7:7">
      <c r="G264" s="3"/>
    </row>
  </sheetData>
  <mergeCells count="8">
    <mergeCell ref="A211:E211"/>
    <mergeCell ref="A218:E218"/>
    <mergeCell ref="A237:E237"/>
    <mergeCell ref="A5:E5"/>
    <mergeCell ref="A3:E3"/>
    <mergeCell ref="A4:E4"/>
    <mergeCell ref="A6:E6"/>
    <mergeCell ref="A105:E105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46" orientation="portrait" r:id="rId1"/>
  <headerFooter>
    <oddHeader>&amp;C 9. melléklet - &amp;P. oldal</oddHeader>
  </headerFooter>
  <rowBreaks count="1" manualBreakCount="1">
    <brk id="104" max="5" man="1"/>
  </rowBreaks>
  <colBreaks count="1" manualBreakCount="1">
    <brk id="5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>
  <sheetPr codeName="Munka23">
    <tabColor rgb="FF00B0F0"/>
  </sheetPr>
  <dimension ref="A1:G137"/>
  <sheetViews>
    <sheetView zoomScaleNormal="100" workbookViewId="0"/>
  </sheetViews>
  <sheetFormatPr defaultColWidth="71.140625" defaultRowHeight="12"/>
  <cols>
    <col min="1" max="1" width="6.28515625" style="679" customWidth="1"/>
    <col min="2" max="2" width="3.85546875" style="961" hidden="1" customWidth="1"/>
    <col min="3" max="3" width="87.85546875" style="506" customWidth="1"/>
    <col min="4" max="4" width="13.28515625" style="506" customWidth="1"/>
    <col min="5" max="5" width="9" style="506" customWidth="1"/>
    <col min="6" max="7" width="9" style="506" hidden="1" customWidth="1"/>
    <col min="8" max="8" width="9" style="506" customWidth="1"/>
    <col min="9" max="20" width="11.42578125" style="506" customWidth="1"/>
    <col min="21" max="16384" width="71.140625" style="506"/>
  </cols>
  <sheetData>
    <row r="1" spans="1:4" s="676" customFormat="1" ht="15.75">
      <c r="A1" s="674"/>
      <c r="B1" s="955"/>
      <c r="C1" s="675"/>
      <c r="D1" s="218" t="s">
        <v>478</v>
      </c>
    </row>
    <row r="2" spans="1:4" s="676" customFormat="1" ht="15.75">
      <c r="A2" s="674"/>
      <c r="B2" s="955"/>
      <c r="C2" s="675"/>
      <c r="D2" s="494"/>
    </row>
    <row r="3" spans="1:4" s="676" customFormat="1" ht="15.75">
      <c r="A3" s="1270" t="s">
        <v>1461</v>
      </c>
      <c r="B3" s="1270"/>
      <c r="C3" s="1270"/>
      <c r="D3" s="1270"/>
    </row>
    <row r="4" spans="1:4">
      <c r="A4" s="677"/>
      <c r="B4" s="956"/>
      <c r="C4" s="486"/>
      <c r="D4" s="486"/>
    </row>
    <row r="5" spans="1:4" ht="12.75" thickBot="1">
      <c r="A5" s="677"/>
      <c r="B5" s="956"/>
      <c r="C5" s="487"/>
      <c r="D5" s="399" t="s">
        <v>553</v>
      </c>
    </row>
    <row r="6" spans="1:4" ht="24.75" thickBot="1">
      <c r="A6" s="483" t="s">
        <v>17</v>
      </c>
      <c r="B6" s="954" t="s">
        <v>1042</v>
      </c>
      <c r="C6" s="482" t="s">
        <v>541</v>
      </c>
      <c r="D6" s="535" t="s">
        <v>1442</v>
      </c>
    </row>
    <row r="7" spans="1:4" ht="12.75" thickBot="1">
      <c r="A7" s="488" t="s">
        <v>542</v>
      </c>
      <c r="B7" s="948"/>
      <c r="C7" s="489">
        <v>2</v>
      </c>
      <c r="D7" s="490">
        <v>3</v>
      </c>
    </row>
    <row r="8" spans="1:4" ht="12.75" thickBot="1">
      <c r="A8" s="1271" t="s">
        <v>585</v>
      </c>
      <c r="B8" s="1272"/>
      <c r="C8" s="1272"/>
      <c r="D8" s="1273"/>
    </row>
    <row r="9" spans="1:4">
      <c r="A9" s="503" t="s">
        <v>4</v>
      </c>
      <c r="B9" s="953"/>
      <c r="C9" s="504" t="s">
        <v>554</v>
      </c>
      <c r="D9" s="505">
        <f>+D10+D11+D16+D18+D19+D20+D21</f>
        <v>219791570</v>
      </c>
    </row>
    <row r="10" spans="1:4">
      <c r="A10" s="393" t="s">
        <v>555</v>
      </c>
      <c r="B10" s="947">
        <v>12</v>
      </c>
      <c r="C10" s="498" t="s">
        <v>1112</v>
      </c>
      <c r="D10" s="480">
        <f>ROUND(31.87*4580000,0)</f>
        <v>145964600</v>
      </c>
    </row>
    <row r="11" spans="1:4">
      <c r="A11" s="393" t="s">
        <v>556</v>
      </c>
      <c r="B11" s="947"/>
      <c r="C11" s="498" t="s">
        <v>1462</v>
      </c>
      <c r="D11" s="480">
        <f>+D12+D13+D14+D15</f>
        <v>60244390</v>
      </c>
    </row>
    <row r="12" spans="1:4" s="678" customFormat="1">
      <c r="A12" s="491" t="s">
        <v>557</v>
      </c>
      <c r="B12" s="957">
        <v>4</v>
      </c>
      <c r="C12" s="497" t="s">
        <v>1463</v>
      </c>
      <c r="D12" s="479">
        <v>15266160</v>
      </c>
    </row>
    <row r="13" spans="1:4" s="678" customFormat="1">
      <c r="A13" s="491" t="s">
        <v>558</v>
      </c>
      <c r="B13" s="957">
        <v>3</v>
      </c>
      <c r="C13" s="497" t="s">
        <v>1464</v>
      </c>
      <c r="D13" s="479">
        <v>26600000</v>
      </c>
    </row>
    <row r="14" spans="1:4" s="678" customFormat="1">
      <c r="A14" s="491" t="s">
        <v>559</v>
      </c>
      <c r="B14" s="957">
        <v>2</v>
      </c>
      <c r="C14" s="497" t="s">
        <v>1465</v>
      </c>
      <c r="D14" s="479">
        <v>3460080</v>
      </c>
    </row>
    <row r="15" spans="1:4" s="678" customFormat="1">
      <c r="A15" s="491" t="s">
        <v>560</v>
      </c>
      <c r="B15" s="957">
        <v>5</v>
      </c>
      <c r="C15" s="497" t="s">
        <v>1466</v>
      </c>
      <c r="D15" s="479">
        <v>14918150</v>
      </c>
    </row>
    <row r="16" spans="1:4" s="678" customFormat="1">
      <c r="A16" s="491" t="s">
        <v>561</v>
      </c>
      <c r="B16" s="957">
        <v>8</v>
      </c>
      <c r="C16" s="973" t="s">
        <v>562</v>
      </c>
      <c r="D16" s="480">
        <v>28503900</v>
      </c>
    </row>
    <row r="17" spans="1:7" s="678" customFormat="1">
      <c r="A17" s="1130"/>
      <c r="B17" s="957"/>
      <c r="C17" s="1128" t="s">
        <v>1468</v>
      </c>
      <c r="D17" s="1129">
        <f>+D16+D20</f>
        <v>12512680</v>
      </c>
    </row>
    <row r="18" spans="1:7">
      <c r="A18" s="393" t="s">
        <v>563</v>
      </c>
      <c r="B18" s="947">
        <v>8</v>
      </c>
      <c r="C18" s="498" t="s">
        <v>26</v>
      </c>
      <c r="D18" s="480">
        <v>943500</v>
      </c>
    </row>
    <row r="19" spans="1:7">
      <c r="A19" s="393" t="s">
        <v>566</v>
      </c>
      <c r="B19" s="947">
        <v>8</v>
      </c>
      <c r="C19" s="498" t="s">
        <v>27</v>
      </c>
      <c r="D19" s="480">
        <v>126400</v>
      </c>
    </row>
    <row r="20" spans="1:7">
      <c r="A20" s="1126" t="s">
        <v>567</v>
      </c>
      <c r="B20" s="1127">
        <v>8</v>
      </c>
      <c r="C20" s="499" t="s">
        <v>1467</v>
      </c>
      <c r="D20" s="472">
        <v>-15991220</v>
      </c>
    </row>
    <row r="21" spans="1:7">
      <c r="A21" s="1126" t="s">
        <v>568</v>
      </c>
      <c r="B21" s="1127">
        <v>8</v>
      </c>
      <c r="C21" s="499" t="s">
        <v>1469</v>
      </c>
      <c r="D21" s="472"/>
    </row>
    <row r="22" spans="1:7">
      <c r="A22" s="503" t="s">
        <v>5</v>
      </c>
      <c r="B22" s="953"/>
      <c r="C22" s="504" t="s">
        <v>564</v>
      </c>
      <c r="D22" s="505"/>
    </row>
    <row r="23" spans="1:7">
      <c r="A23" s="393" t="s">
        <v>6</v>
      </c>
      <c r="B23" s="947"/>
      <c r="C23" s="481" t="s">
        <v>982</v>
      </c>
      <c r="D23" s="480"/>
    </row>
    <row r="24" spans="1:7">
      <c r="A24" s="393" t="s">
        <v>3</v>
      </c>
      <c r="B24" s="947"/>
      <c r="C24" s="481" t="s">
        <v>981</v>
      </c>
      <c r="D24" s="480"/>
    </row>
    <row r="25" spans="1:7" ht="12.75" thickBot="1">
      <c r="A25" s="393" t="s">
        <v>16</v>
      </c>
      <c r="B25" s="947">
        <v>1</v>
      </c>
      <c r="C25" s="481" t="s">
        <v>1174</v>
      </c>
      <c r="D25" s="480">
        <v>1793900</v>
      </c>
    </row>
    <row r="26" spans="1:7" ht="12.75" thickBot="1">
      <c r="A26" s="495" t="s">
        <v>23</v>
      </c>
      <c r="B26" s="958"/>
      <c r="C26" s="478" t="s">
        <v>1470</v>
      </c>
      <c r="D26" s="477">
        <f>+D9+D22+D23+D24+D25</f>
        <v>221585470</v>
      </c>
      <c r="F26" s="689">
        <f>+'1.mell._Össz_Mérleg2020'!C13</f>
        <v>221585</v>
      </c>
      <c r="G26" s="689">
        <f>+ROUND(D26/1000,0)-F26</f>
        <v>0</v>
      </c>
    </row>
    <row r="27" spans="1:7">
      <c r="A27" s="492" t="s">
        <v>4</v>
      </c>
      <c r="B27" s="945"/>
      <c r="C27" s="476" t="s">
        <v>1304</v>
      </c>
      <c r="D27" s="475">
        <f>144696650+52800000</f>
        <v>197496650</v>
      </c>
    </row>
    <row r="28" spans="1:7">
      <c r="A28" s="396" t="s">
        <v>5</v>
      </c>
      <c r="B28" s="945"/>
      <c r="C28" s="474" t="s">
        <v>543</v>
      </c>
      <c r="D28" s="472">
        <v>36398380</v>
      </c>
    </row>
    <row r="29" spans="1:7">
      <c r="A29" s="396" t="s">
        <v>6</v>
      </c>
      <c r="B29" s="945"/>
      <c r="C29" s="474" t="s">
        <v>544</v>
      </c>
      <c r="D29" s="472"/>
    </row>
    <row r="30" spans="1:7" ht="24">
      <c r="A30" s="396" t="s">
        <v>3</v>
      </c>
      <c r="B30" s="945"/>
      <c r="C30" s="474" t="s">
        <v>1175</v>
      </c>
      <c r="D30" s="472">
        <f>3173600+1447300</f>
        <v>4620900</v>
      </c>
    </row>
    <row r="31" spans="1:7" ht="12.75" thickBot="1">
      <c r="A31" s="396" t="s">
        <v>16</v>
      </c>
      <c r="B31" s="945"/>
      <c r="C31" s="474" t="s">
        <v>1306</v>
      </c>
      <c r="D31" s="472"/>
    </row>
    <row r="32" spans="1:7" ht="12.75" thickBot="1">
      <c r="A32" s="495" t="s">
        <v>22</v>
      </c>
      <c r="B32" s="958">
        <v>19</v>
      </c>
      <c r="C32" s="478" t="s">
        <v>1305</v>
      </c>
      <c r="D32" s="477">
        <f>+D27+D28+D29+D30+D31</f>
        <v>238515930</v>
      </c>
      <c r="F32" s="689">
        <f>+'1.mell._Össz_Mérleg2020'!C14</f>
        <v>238516</v>
      </c>
      <c r="G32" s="689">
        <f>+ROUND(D32/1000,0)-F32</f>
        <v>0</v>
      </c>
    </row>
    <row r="33" spans="1:4">
      <c r="A33" s="396" t="s">
        <v>4</v>
      </c>
      <c r="B33" s="946">
        <v>6</v>
      </c>
      <c r="C33" s="474" t="s">
        <v>983</v>
      </c>
      <c r="D33" s="472">
        <v>119888998</v>
      </c>
    </row>
    <row r="34" spans="1:4">
      <c r="A34" s="396" t="s">
        <v>5</v>
      </c>
      <c r="B34" s="946"/>
      <c r="C34" s="474" t="s">
        <v>545</v>
      </c>
      <c r="D34" s="472">
        <f>+D35+D36+D37+D38+D41+D42+D43+D44+D45+D46+D47+D48+D49+D50</f>
        <v>73898586</v>
      </c>
    </row>
    <row r="35" spans="1:4">
      <c r="A35" s="396" t="s">
        <v>565</v>
      </c>
      <c r="B35" s="946">
        <v>32</v>
      </c>
      <c r="C35" s="499" t="s">
        <v>984</v>
      </c>
      <c r="D35" s="472">
        <v>25500000</v>
      </c>
    </row>
    <row r="36" spans="1:4">
      <c r="A36" s="396" t="s">
        <v>556</v>
      </c>
      <c r="B36" s="946">
        <v>32</v>
      </c>
      <c r="C36" s="499" t="s">
        <v>985</v>
      </c>
      <c r="D36" s="472">
        <v>29040000</v>
      </c>
    </row>
    <row r="37" spans="1:4">
      <c r="A37" s="396" t="s">
        <v>561</v>
      </c>
      <c r="B37" s="946"/>
      <c r="C37" s="499" t="s">
        <v>546</v>
      </c>
      <c r="D37" s="472"/>
    </row>
    <row r="38" spans="1:4">
      <c r="A38" s="396" t="s">
        <v>563</v>
      </c>
      <c r="B38" s="946"/>
      <c r="C38" s="499" t="s">
        <v>547</v>
      </c>
      <c r="D38" s="472">
        <f>+D39+D40</f>
        <v>0</v>
      </c>
    </row>
    <row r="39" spans="1:4" s="678" customFormat="1">
      <c r="A39" s="493" t="s">
        <v>1113</v>
      </c>
      <c r="B39" s="959"/>
      <c r="C39" s="500" t="s">
        <v>1115</v>
      </c>
      <c r="D39" s="473"/>
    </row>
    <row r="40" spans="1:4" s="678" customFormat="1">
      <c r="A40" s="493" t="s">
        <v>1114</v>
      </c>
      <c r="B40" s="959"/>
      <c r="C40" s="500" t="s">
        <v>1116</v>
      </c>
      <c r="D40" s="473"/>
    </row>
    <row r="41" spans="1:4">
      <c r="A41" s="396" t="s">
        <v>566</v>
      </c>
      <c r="B41" s="946"/>
      <c r="C41" s="499" t="s">
        <v>548</v>
      </c>
      <c r="D41" s="472"/>
    </row>
    <row r="42" spans="1:4">
      <c r="A42" s="396" t="s">
        <v>567</v>
      </c>
      <c r="B42" s="946"/>
      <c r="C42" s="499" t="s">
        <v>549</v>
      </c>
      <c r="D42" s="472"/>
    </row>
    <row r="43" spans="1:4">
      <c r="A43" s="396" t="s">
        <v>568</v>
      </c>
      <c r="B43" s="946"/>
      <c r="C43" s="499" t="s">
        <v>550</v>
      </c>
      <c r="D43" s="472"/>
    </row>
    <row r="44" spans="1:4">
      <c r="A44" s="396" t="s">
        <v>569</v>
      </c>
      <c r="B44" s="946"/>
      <c r="C44" s="499" t="s">
        <v>570</v>
      </c>
      <c r="D44" s="472"/>
    </row>
    <row r="45" spans="1:4">
      <c r="A45" s="396" t="s">
        <v>571</v>
      </c>
      <c r="B45" s="946"/>
      <c r="C45" s="499" t="s">
        <v>551</v>
      </c>
      <c r="D45" s="472"/>
    </row>
    <row r="46" spans="1:4">
      <c r="A46" s="396" t="s">
        <v>572</v>
      </c>
      <c r="B46" s="946"/>
      <c r="C46" s="499" t="s">
        <v>1117</v>
      </c>
      <c r="D46" s="472"/>
    </row>
    <row r="47" spans="1:4">
      <c r="A47" s="396" t="s">
        <v>574</v>
      </c>
      <c r="B47" s="946"/>
      <c r="C47" s="499" t="s">
        <v>575</v>
      </c>
      <c r="D47" s="472"/>
    </row>
    <row r="48" spans="1:4">
      <c r="A48" s="396" t="s">
        <v>576</v>
      </c>
      <c r="B48" s="946"/>
      <c r="C48" s="499" t="s">
        <v>1118</v>
      </c>
      <c r="D48" s="472"/>
    </row>
    <row r="49" spans="1:7">
      <c r="A49" s="396" t="s">
        <v>1119</v>
      </c>
      <c r="B49" s="946"/>
      <c r="C49" s="499" t="s">
        <v>1120</v>
      </c>
      <c r="D49" s="472"/>
    </row>
    <row r="50" spans="1:7">
      <c r="A50" s="396" t="s">
        <v>1177</v>
      </c>
      <c r="B50" s="946">
        <v>32</v>
      </c>
      <c r="C50" s="499" t="s">
        <v>1176</v>
      </c>
      <c r="D50" s="472">
        <v>19358586</v>
      </c>
    </row>
    <row r="51" spans="1:7">
      <c r="A51" s="396" t="s">
        <v>6</v>
      </c>
      <c r="B51" s="946">
        <v>21</v>
      </c>
      <c r="C51" s="474" t="s">
        <v>1178</v>
      </c>
      <c r="D51" s="472">
        <f>+D52+D53</f>
        <v>23729500</v>
      </c>
    </row>
    <row r="52" spans="1:7">
      <c r="A52" s="396" t="s">
        <v>565</v>
      </c>
      <c r="B52" s="946"/>
      <c r="C52" s="499" t="s">
        <v>577</v>
      </c>
      <c r="D52" s="472">
        <v>19454500</v>
      </c>
    </row>
    <row r="53" spans="1:7">
      <c r="A53" s="396" t="s">
        <v>556</v>
      </c>
      <c r="B53" s="946"/>
      <c r="C53" s="499" t="s">
        <v>1179</v>
      </c>
      <c r="D53" s="472">
        <v>4275000</v>
      </c>
    </row>
    <row r="54" spans="1:7" ht="24">
      <c r="A54" s="396" t="s">
        <v>3</v>
      </c>
      <c r="B54" s="946"/>
      <c r="C54" s="474" t="s">
        <v>986</v>
      </c>
      <c r="D54" s="472">
        <f>+D55+D56</f>
        <v>0</v>
      </c>
    </row>
    <row r="55" spans="1:7">
      <c r="A55" s="396" t="s">
        <v>565</v>
      </c>
      <c r="B55" s="946"/>
      <c r="C55" s="499" t="s">
        <v>577</v>
      </c>
      <c r="D55" s="472"/>
    </row>
    <row r="56" spans="1:7">
      <c r="A56" s="396" t="s">
        <v>556</v>
      </c>
      <c r="B56" s="946"/>
      <c r="C56" s="499" t="s">
        <v>578</v>
      </c>
      <c r="D56" s="472"/>
    </row>
    <row r="57" spans="1:7">
      <c r="A57" s="396" t="s">
        <v>16</v>
      </c>
      <c r="B57" s="946"/>
      <c r="C57" s="474" t="s">
        <v>1311</v>
      </c>
      <c r="D57" s="472">
        <f>+D58+D61</f>
        <v>70329187</v>
      </c>
    </row>
    <row r="58" spans="1:7">
      <c r="A58" s="396" t="s">
        <v>565</v>
      </c>
      <c r="B58" s="946">
        <v>20</v>
      </c>
      <c r="C58" s="499" t="s">
        <v>1308</v>
      </c>
      <c r="D58" s="472">
        <f>+D59+D60</f>
        <v>67762275</v>
      </c>
    </row>
    <row r="59" spans="1:7" s="678" customFormat="1">
      <c r="A59" s="493" t="s">
        <v>1309</v>
      </c>
      <c r="B59" s="959"/>
      <c r="C59" s="500" t="s">
        <v>987</v>
      </c>
      <c r="D59" s="473">
        <v>41932000</v>
      </c>
    </row>
    <row r="60" spans="1:7" s="678" customFormat="1">
      <c r="A60" s="493" t="s">
        <v>1310</v>
      </c>
      <c r="B60" s="959"/>
      <c r="C60" s="500" t="s">
        <v>988</v>
      </c>
      <c r="D60" s="473">
        <v>25830275</v>
      </c>
    </row>
    <row r="61" spans="1:7" ht="12.75" thickBot="1">
      <c r="A61" s="396" t="s">
        <v>556</v>
      </c>
      <c r="B61" s="946">
        <v>6</v>
      </c>
      <c r="C61" s="499" t="s">
        <v>1121</v>
      </c>
      <c r="D61" s="472">
        <v>2566912</v>
      </c>
    </row>
    <row r="62" spans="1:7" ht="24.75" thickBot="1">
      <c r="A62" s="495" t="s">
        <v>21</v>
      </c>
      <c r="B62" s="958"/>
      <c r="C62" s="478" t="s">
        <v>1471</v>
      </c>
      <c r="D62" s="477">
        <f>+D33+D34+D51+D54+D57</f>
        <v>287846271</v>
      </c>
      <c r="F62" s="689">
        <f>+'1.mell._Össz_Mérleg2020'!C15</f>
        <v>287846</v>
      </c>
      <c r="G62" s="689">
        <f>+ROUND(D62/1000,0)-F62</f>
        <v>0</v>
      </c>
    </row>
    <row r="63" spans="1:7">
      <c r="A63" s="492" t="s">
        <v>565</v>
      </c>
      <c r="B63" s="945"/>
      <c r="C63" s="501" t="s">
        <v>1122</v>
      </c>
      <c r="D63" s="475"/>
    </row>
    <row r="64" spans="1:7">
      <c r="A64" s="492" t="s">
        <v>556</v>
      </c>
      <c r="B64" s="974">
        <v>25</v>
      </c>
      <c r="C64" s="501" t="s">
        <v>1123</v>
      </c>
      <c r="D64" s="475">
        <v>13206807</v>
      </c>
    </row>
    <row r="65" spans="1:7">
      <c r="A65" s="492" t="s">
        <v>561</v>
      </c>
      <c r="B65" s="945"/>
      <c r="C65" s="501" t="s">
        <v>1124</v>
      </c>
      <c r="D65" s="475"/>
    </row>
    <row r="66" spans="1:7">
      <c r="A66" s="492" t="s">
        <v>563</v>
      </c>
      <c r="B66" s="945"/>
      <c r="C66" s="501" t="s">
        <v>1125</v>
      </c>
      <c r="D66" s="475"/>
    </row>
    <row r="67" spans="1:7" ht="12.75" thickBot="1">
      <c r="A67" s="492" t="s">
        <v>566</v>
      </c>
      <c r="B67" s="945"/>
      <c r="C67" s="501" t="s">
        <v>1180</v>
      </c>
      <c r="D67" s="475"/>
    </row>
    <row r="68" spans="1:7" ht="12.75" thickBot="1">
      <c r="A68" s="495" t="s">
        <v>20</v>
      </c>
      <c r="B68" s="958"/>
      <c r="C68" s="478" t="s">
        <v>1472</v>
      </c>
      <c r="D68" s="477">
        <f>+D63+D64+D65+D66+D67</f>
        <v>13206807</v>
      </c>
      <c r="F68" s="689">
        <f>+'1.mell._Össz_Mérleg2020'!C16</f>
        <v>13207</v>
      </c>
      <c r="G68" s="689">
        <f>+ROUND(D68/1000,0)-F68</f>
        <v>0</v>
      </c>
    </row>
    <row r="69" spans="1:7" s="678" customFormat="1" ht="12.75" thickBot="1">
      <c r="A69" s="1133" t="s">
        <v>552</v>
      </c>
      <c r="B69" s="1134"/>
      <c r="C69" s="1135" t="s">
        <v>1473</v>
      </c>
      <c r="D69" s="1136"/>
      <c r="F69" s="1137"/>
      <c r="G69" s="1137"/>
    </row>
    <row r="70" spans="1:7" ht="24.75" thickBot="1">
      <c r="A70" s="502" t="s">
        <v>587</v>
      </c>
      <c r="B70" s="952"/>
      <c r="C70" s="478" t="s">
        <v>883</v>
      </c>
      <c r="D70" s="477">
        <f>+D26+D32+D62+D68+D69</f>
        <v>761154478</v>
      </c>
      <c r="F70" s="689"/>
    </row>
    <row r="71" spans="1:7" ht="12.75" thickBot="1">
      <c r="A71" s="496"/>
      <c r="B71" s="960"/>
      <c r="C71" s="484"/>
      <c r="D71" s="485"/>
    </row>
    <row r="72" spans="1:7" ht="12.75" thickBot="1">
      <c r="A72" s="1271" t="s">
        <v>586</v>
      </c>
      <c r="B72" s="1272"/>
      <c r="C72" s="1272"/>
      <c r="D72" s="1273"/>
    </row>
    <row r="73" spans="1:7" s="810" customFormat="1">
      <c r="A73" s="396" t="s">
        <v>4</v>
      </c>
      <c r="B73" s="946"/>
      <c r="C73" s="474" t="s">
        <v>31</v>
      </c>
      <c r="D73" s="472"/>
      <c r="F73" s="506"/>
      <c r="G73" s="506"/>
    </row>
    <row r="74" spans="1:7" s="810" customFormat="1">
      <c r="A74" s="396" t="s">
        <v>5</v>
      </c>
      <c r="B74" s="946"/>
      <c r="C74" s="474" t="s">
        <v>1126</v>
      </c>
      <c r="D74" s="472"/>
      <c r="F74" s="506"/>
      <c r="G74" s="506"/>
    </row>
    <row r="75" spans="1:7" s="810" customFormat="1">
      <c r="A75" s="396" t="s">
        <v>6</v>
      </c>
      <c r="B75" s="946"/>
      <c r="C75" s="474" t="s">
        <v>1127</v>
      </c>
      <c r="D75" s="472"/>
      <c r="F75" s="506"/>
      <c r="G75" s="506"/>
    </row>
    <row r="76" spans="1:7" s="810" customFormat="1">
      <c r="A76" s="396" t="s">
        <v>3</v>
      </c>
      <c r="B76" s="946"/>
      <c r="C76" s="474" t="s">
        <v>584</v>
      </c>
      <c r="D76" s="472"/>
      <c r="F76" s="506"/>
      <c r="G76" s="506"/>
    </row>
    <row r="77" spans="1:7" s="810" customFormat="1">
      <c r="A77" s="396" t="s">
        <v>16</v>
      </c>
      <c r="B77" s="946"/>
      <c r="C77" s="474" t="s">
        <v>25</v>
      </c>
      <c r="D77" s="472"/>
      <c r="F77" s="506"/>
      <c r="G77" s="506"/>
    </row>
    <row r="78" spans="1:7" s="810" customFormat="1">
      <c r="A78" s="396" t="s">
        <v>15</v>
      </c>
      <c r="B78" s="947"/>
      <c r="C78" s="907" t="s">
        <v>879</v>
      </c>
      <c r="D78" s="906"/>
      <c r="F78" s="506"/>
      <c r="G78" s="506"/>
    </row>
    <row r="79" spans="1:7" s="810" customFormat="1" ht="24">
      <c r="A79" s="396" t="s">
        <v>14</v>
      </c>
      <c r="B79" s="947"/>
      <c r="C79" s="975" t="s">
        <v>1128</v>
      </c>
      <c r="D79" s="906"/>
      <c r="F79" s="506"/>
      <c r="G79" s="506"/>
    </row>
    <row r="80" spans="1:7" s="810" customFormat="1">
      <c r="A80" s="396" t="s">
        <v>13</v>
      </c>
      <c r="B80" s="947"/>
      <c r="C80" s="907" t="s">
        <v>1129</v>
      </c>
      <c r="D80" s="906"/>
      <c r="F80" s="506"/>
      <c r="G80" s="506"/>
    </row>
    <row r="81" spans="1:7" s="810" customFormat="1">
      <c r="A81" s="396" t="s">
        <v>12</v>
      </c>
      <c r="B81" s="946">
        <v>8</v>
      </c>
      <c r="C81" s="474" t="s">
        <v>993</v>
      </c>
      <c r="D81" s="472">
        <f>264842000-115619000</f>
        <v>149223000</v>
      </c>
      <c r="F81" s="506"/>
      <c r="G81" s="506"/>
    </row>
    <row r="82" spans="1:7" s="810" customFormat="1">
      <c r="A82" s="396" t="s">
        <v>11</v>
      </c>
      <c r="B82" s="946"/>
      <c r="C82" s="474" t="s">
        <v>994</v>
      </c>
      <c r="D82" s="472"/>
      <c r="F82" s="506"/>
      <c r="G82" s="506"/>
    </row>
    <row r="83" spans="1:7" s="810" customFormat="1">
      <c r="A83" s="396" t="s">
        <v>10</v>
      </c>
      <c r="B83" s="1044">
        <v>8</v>
      </c>
      <c r="C83" s="474" t="s">
        <v>1474</v>
      </c>
      <c r="D83" s="472"/>
      <c r="F83" s="506"/>
      <c r="G83" s="506"/>
    </row>
    <row r="84" spans="1:7" s="810" customFormat="1">
      <c r="A84" s="396" t="s">
        <v>9</v>
      </c>
      <c r="B84" s="946">
        <v>32</v>
      </c>
      <c r="C84" s="474" t="s">
        <v>1307</v>
      </c>
      <c r="D84" s="472"/>
      <c r="F84" s="506"/>
      <c r="G84" s="506"/>
    </row>
    <row r="85" spans="1:7" s="810" customFormat="1">
      <c r="A85" s="396" t="s">
        <v>45</v>
      </c>
      <c r="B85" s="946"/>
      <c r="C85" s="474" t="s">
        <v>1478</v>
      </c>
      <c r="D85" s="472">
        <f>+D86+D87+D88+D89+D90+D91+D92</f>
        <v>6679000</v>
      </c>
      <c r="F85" s="506"/>
      <c r="G85" s="506"/>
    </row>
    <row r="86" spans="1:7">
      <c r="A86" s="396" t="s">
        <v>565</v>
      </c>
      <c r="B86" s="946"/>
      <c r="C86" s="499" t="s">
        <v>1475</v>
      </c>
      <c r="D86" s="472"/>
    </row>
    <row r="87" spans="1:7">
      <c r="A87" s="396" t="s">
        <v>556</v>
      </c>
      <c r="B87" s="946"/>
      <c r="C87" s="499" t="s">
        <v>1476</v>
      </c>
      <c r="D87" s="472"/>
    </row>
    <row r="88" spans="1:7">
      <c r="A88" s="396" t="s">
        <v>561</v>
      </c>
      <c r="B88" s="946">
        <v>26</v>
      </c>
      <c r="C88" s="499" t="s">
        <v>24</v>
      </c>
      <c r="D88" s="472">
        <f>0+6679000</f>
        <v>6679000</v>
      </c>
    </row>
    <row r="89" spans="1:7">
      <c r="A89" s="396" t="s">
        <v>563</v>
      </c>
      <c r="B89" s="946">
        <v>24</v>
      </c>
      <c r="C89" s="499" t="s">
        <v>989</v>
      </c>
      <c r="D89" s="472"/>
    </row>
    <row r="90" spans="1:7">
      <c r="A90" s="396" t="s">
        <v>566</v>
      </c>
      <c r="B90" s="946"/>
      <c r="C90" s="499" t="s">
        <v>579</v>
      </c>
      <c r="D90" s="472"/>
    </row>
    <row r="91" spans="1:7">
      <c r="A91" s="396" t="s">
        <v>567</v>
      </c>
      <c r="B91" s="946"/>
      <c r="C91" s="499" t="s">
        <v>580</v>
      </c>
      <c r="D91" s="472"/>
    </row>
    <row r="92" spans="1:7">
      <c r="A92" s="396" t="s">
        <v>568</v>
      </c>
      <c r="B92" s="946"/>
      <c r="C92" s="499" t="s">
        <v>581</v>
      </c>
      <c r="D92" s="472"/>
    </row>
    <row r="93" spans="1:7" s="810" customFormat="1" ht="12.75" thickBot="1">
      <c r="A93" s="396" t="s">
        <v>44</v>
      </c>
      <c r="B93" s="1044">
        <v>25</v>
      </c>
      <c r="C93" s="474" t="s">
        <v>1181</v>
      </c>
      <c r="D93" s="472"/>
      <c r="F93" s="506"/>
      <c r="G93" s="506"/>
    </row>
    <row r="94" spans="1:7" s="811" customFormat="1" ht="12.75" thickBot="1">
      <c r="A94" s="392" t="s">
        <v>23</v>
      </c>
      <c r="B94" s="962"/>
      <c r="C94" s="478" t="s">
        <v>1477</v>
      </c>
      <c r="D94" s="477">
        <f>+D73+D74+D75+D76+D77+D78+D79+D80+D81+D82+D83+D84+D85+D93</f>
        <v>155902000</v>
      </c>
      <c r="F94" s="1004">
        <f>+'1.mell._Össz_Mérleg2020'!C17</f>
        <v>155902</v>
      </c>
      <c r="G94" s="689">
        <f>+ROUND(D94/1000,0)-F94</f>
        <v>0</v>
      </c>
    </row>
    <row r="95" spans="1:7" s="810" customFormat="1">
      <c r="A95" s="396" t="s">
        <v>4</v>
      </c>
      <c r="B95" s="946"/>
      <c r="C95" s="474" t="s">
        <v>30</v>
      </c>
      <c r="D95" s="472"/>
      <c r="F95" s="506"/>
      <c r="G95" s="506"/>
    </row>
    <row r="96" spans="1:7" s="810" customFormat="1">
      <c r="A96" s="396" t="s">
        <v>5</v>
      </c>
      <c r="B96" s="946"/>
      <c r="C96" s="474" t="s">
        <v>28</v>
      </c>
      <c r="D96" s="472">
        <f>+D97+D98+D99</f>
        <v>0</v>
      </c>
      <c r="F96" s="506"/>
      <c r="G96" s="506"/>
    </row>
    <row r="97" spans="1:7" s="810" customFormat="1">
      <c r="A97" s="396" t="s">
        <v>565</v>
      </c>
      <c r="B97" s="946"/>
      <c r="C97" s="499" t="s">
        <v>582</v>
      </c>
      <c r="D97" s="472"/>
      <c r="F97" s="506"/>
      <c r="G97" s="506"/>
    </row>
    <row r="98" spans="1:7" s="810" customFormat="1">
      <c r="A98" s="396" t="s">
        <v>556</v>
      </c>
      <c r="B98" s="946"/>
      <c r="C98" s="499" t="s">
        <v>583</v>
      </c>
      <c r="D98" s="472"/>
      <c r="F98" s="506"/>
      <c r="G98" s="506"/>
    </row>
    <row r="99" spans="1:7" s="810" customFormat="1">
      <c r="A99" s="396" t="s">
        <v>561</v>
      </c>
      <c r="B99" s="946"/>
      <c r="C99" s="499" t="s">
        <v>990</v>
      </c>
      <c r="D99" s="472"/>
      <c r="F99" s="506"/>
      <c r="G99" s="506"/>
    </row>
    <row r="100" spans="1:7" s="810" customFormat="1">
      <c r="A100" s="396" t="s">
        <v>6</v>
      </c>
      <c r="B100" s="946"/>
      <c r="C100" s="474" t="s">
        <v>992</v>
      </c>
      <c r="D100" s="472"/>
      <c r="F100" s="506"/>
      <c r="G100" s="506"/>
    </row>
    <row r="101" spans="1:7" s="810" customFormat="1">
      <c r="A101" s="396" t="s">
        <v>3</v>
      </c>
      <c r="B101" s="946"/>
      <c r="C101" s="474" t="s">
        <v>880</v>
      </c>
      <c r="D101" s="472">
        <f>+D102+D103+D104</f>
        <v>0</v>
      </c>
      <c r="F101" s="506"/>
      <c r="G101" s="506"/>
    </row>
    <row r="102" spans="1:7" s="810" customFormat="1">
      <c r="A102" s="396" t="s">
        <v>565</v>
      </c>
      <c r="B102" s="946"/>
      <c r="C102" s="499" t="s">
        <v>881</v>
      </c>
      <c r="D102" s="472"/>
      <c r="F102" s="506"/>
      <c r="G102" s="506"/>
    </row>
    <row r="103" spans="1:7" s="810" customFormat="1">
      <c r="A103" s="396" t="s">
        <v>556</v>
      </c>
      <c r="B103" s="946"/>
      <c r="C103" s="499" t="s">
        <v>991</v>
      </c>
      <c r="D103" s="472"/>
      <c r="F103" s="506"/>
      <c r="G103" s="506"/>
    </row>
    <row r="104" spans="1:7" s="810" customFormat="1">
      <c r="A104" s="396" t="s">
        <v>561</v>
      </c>
      <c r="B104" s="946"/>
      <c r="C104" s="499" t="s">
        <v>882</v>
      </c>
      <c r="D104" s="472"/>
      <c r="F104" s="506"/>
      <c r="G104" s="506"/>
    </row>
    <row r="105" spans="1:7" s="810" customFormat="1">
      <c r="A105" s="396" t="s">
        <v>16</v>
      </c>
      <c r="B105" s="946"/>
      <c r="C105" s="474" t="s">
        <v>29</v>
      </c>
      <c r="D105" s="472"/>
      <c r="F105" s="506"/>
      <c r="G105" s="506"/>
    </row>
    <row r="106" spans="1:7" s="810" customFormat="1">
      <c r="A106" s="396" t="s">
        <v>15</v>
      </c>
      <c r="B106" s="946"/>
      <c r="C106" s="937" t="s">
        <v>1312</v>
      </c>
      <c r="D106" s="472"/>
      <c r="F106" s="506"/>
      <c r="G106" s="506"/>
    </row>
    <row r="107" spans="1:7" s="810" customFormat="1">
      <c r="A107" s="492" t="s">
        <v>14</v>
      </c>
      <c r="B107" s="945"/>
      <c r="C107" s="476" t="s">
        <v>1479</v>
      </c>
      <c r="D107" s="475"/>
      <c r="F107" s="506"/>
      <c r="G107" s="506"/>
    </row>
    <row r="108" spans="1:7" s="810" customFormat="1">
      <c r="A108" s="492" t="s">
        <v>13</v>
      </c>
      <c r="B108" s="945"/>
      <c r="C108" s="476" t="s">
        <v>1480</v>
      </c>
      <c r="D108" s="475"/>
      <c r="F108" s="506"/>
      <c r="G108" s="506"/>
    </row>
    <row r="109" spans="1:7" s="810" customFormat="1">
      <c r="A109" s="492" t="s">
        <v>12</v>
      </c>
      <c r="B109" s="945"/>
      <c r="C109" s="476" t="s">
        <v>1481</v>
      </c>
      <c r="D109" s="475"/>
      <c r="F109" s="506"/>
      <c r="G109" s="506"/>
    </row>
    <row r="110" spans="1:7" s="810" customFormat="1">
      <c r="A110" s="492" t="s">
        <v>11</v>
      </c>
      <c r="B110" s="945"/>
      <c r="C110" s="476" t="s">
        <v>1482</v>
      </c>
      <c r="D110" s="475"/>
      <c r="F110" s="506"/>
      <c r="G110" s="506"/>
    </row>
    <row r="111" spans="1:7" s="810" customFormat="1">
      <c r="A111" s="492" t="s">
        <v>10</v>
      </c>
      <c r="B111" s="945"/>
      <c r="C111" s="476" t="s">
        <v>1483</v>
      </c>
      <c r="D111" s="475"/>
      <c r="F111" s="506"/>
      <c r="G111" s="506"/>
    </row>
    <row r="112" spans="1:7" s="810" customFormat="1">
      <c r="A112" s="492" t="s">
        <v>9</v>
      </c>
      <c r="B112" s="945"/>
      <c r="C112" s="476" t="s">
        <v>1484</v>
      </c>
      <c r="D112" s="475"/>
      <c r="F112" s="506"/>
      <c r="G112" s="506"/>
    </row>
    <row r="113" spans="1:7" s="810" customFormat="1">
      <c r="A113" s="492" t="s">
        <v>45</v>
      </c>
      <c r="B113" s="945"/>
      <c r="C113" s="476" t="s">
        <v>1485</v>
      </c>
      <c r="D113" s="475"/>
      <c r="F113" s="506"/>
      <c r="G113" s="506"/>
    </row>
    <row r="114" spans="1:7" s="810" customFormat="1">
      <c r="A114" s="492" t="s">
        <v>44</v>
      </c>
      <c r="B114" s="945"/>
      <c r="C114" s="476" t="s">
        <v>1486</v>
      </c>
      <c r="D114" s="475"/>
      <c r="F114" s="506"/>
      <c r="G114" s="506"/>
    </row>
    <row r="115" spans="1:7" s="810" customFormat="1">
      <c r="A115" s="492" t="s">
        <v>43</v>
      </c>
      <c r="B115" s="945"/>
      <c r="C115" s="476" t="s">
        <v>1487</v>
      </c>
      <c r="D115" s="475"/>
      <c r="F115" s="506"/>
      <c r="G115" s="506"/>
    </row>
    <row r="116" spans="1:7" s="810" customFormat="1">
      <c r="A116" s="492" t="s">
        <v>40</v>
      </c>
      <c r="B116" s="945"/>
      <c r="C116" s="476" t="s">
        <v>1488</v>
      </c>
      <c r="D116" s="475"/>
      <c r="F116" s="506"/>
      <c r="G116" s="506"/>
    </row>
    <row r="117" spans="1:7" s="810" customFormat="1">
      <c r="A117" s="492" t="s">
        <v>39</v>
      </c>
      <c r="B117" s="945"/>
      <c r="C117" s="476" t="s">
        <v>1489</v>
      </c>
      <c r="D117" s="475"/>
      <c r="F117" s="506"/>
      <c r="G117" s="506"/>
    </row>
    <row r="118" spans="1:7" s="810" customFormat="1">
      <c r="A118" s="492" t="s">
        <v>38</v>
      </c>
      <c r="B118" s="945"/>
      <c r="C118" s="476" t="s">
        <v>1490</v>
      </c>
      <c r="D118" s="475"/>
      <c r="F118" s="506"/>
      <c r="G118" s="506"/>
    </row>
    <row r="119" spans="1:7" s="810" customFormat="1">
      <c r="A119" s="492" t="s">
        <v>36</v>
      </c>
      <c r="B119" s="945"/>
      <c r="C119" s="476" t="s">
        <v>1491</v>
      </c>
      <c r="D119" s="475"/>
      <c r="F119" s="506"/>
      <c r="G119" s="506"/>
    </row>
    <row r="120" spans="1:7" s="810" customFormat="1">
      <c r="A120" s="492" t="s">
        <v>35</v>
      </c>
      <c r="B120" s="945"/>
      <c r="C120" s="476" t="s">
        <v>1492</v>
      </c>
      <c r="D120" s="475"/>
      <c r="F120" s="506"/>
      <c r="G120" s="506"/>
    </row>
    <row r="121" spans="1:7" s="810" customFormat="1">
      <c r="A121" s="492" t="s">
        <v>34</v>
      </c>
      <c r="B121" s="945"/>
      <c r="C121" s="476" t="s">
        <v>1493</v>
      </c>
      <c r="D121" s="475"/>
      <c r="F121" s="506"/>
      <c r="G121" s="506"/>
    </row>
    <row r="122" spans="1:7" s="810" customFormat="1">
      <c r="A122" s="492" t="s">
        <v>33</v>
      </c>
      <c r="B122" s="945"/>
      <c r="C122" s="476" t="s">
        <v>1494</v>
      </c>
      <c r="D122" s="475"/>
      <c r="F122" s="506"/>
      <c r="G122" s="506"/>
    </row>
    <row r="123" spans="1:7" s="810" customFormat="1">
      <c r="A123" s="492" t="s">
        <v>32</v>
      </c>
      <c r="B123" s="945"/>
      <c r="C123" s="476" t="s">
        <v>1495</v>
      </c>
      <c r="D123" s="475"/>
      <c r="F123" s="506"/>
      <c r="G123" s="506"/>
    </row>
    <row r="124" spans="1:7" s="810" customFormat="1">
      <c r="A124" s="492" t="s">
        <v>470</v>
      </c>
      <c r="B124" s="945"/>
      <c r="C124" s="476" t="s">
        <v>1496</v>
      </c>
      <c r="D124" s="475"/>
      <c r="F124" s="506"/>
      <c r="G124" s="506"/>
    </row>
    <row r="125" spans="1:7" s="810" customFormat="1">
      <c r="A125" s="492" t="s">
        <v>471</v>
      </c>
      <c r="B125" s="945"/>
      <c r="C125" s="476" t="s">
        <v>1497</v>
      </c>
      <c r="D125" s="475"/>
      <c r="F125" s="506"/>
      <c r="G125" s="506"/>
    </row>
    <row r="126" spans="1:7" s="810" customFormat="1">
      <c r="A126" s="492" t="s">
        <v>472</v>
      </c>
      <c r="B126" s="945"/>
      <c r="C126" s="476" t="s">
        <v>1498</v>
      </c>
      <c r="D126" s="475"/>
      <c r="F126" s="506"/>
      <c r="G126" s="506"/>
    </row>
    <row r="127" spans="1:7" s="810" customFormat="1">
      <c r="A127" s="492" t="s">
        <v>473</v>
      </c>
      <c r="B127" s="945"/>
      <c r="C127" s="476" t="s">
        <v>1499</v>
      </c>
      <c r="D127" s="475"/>
      <c r="F127" s="506"/>
      <c r="G127" s="506"/>
    </row>
    <row r="128" spans="1:7" s="810" customFormat="1">
      <c r="A128" s="492" t="s">
        <v>486</v>
      </c>
      <c r="B128" s="945"/>
      <c r="C128" s="476" t="s">
        <v>1500</v>
      </c>
      <c r="D128" s="475"/>
      <c r="F128" s="506"/>
      <c r="G128" s="506"/>
    </row>
    <row r="129" spans="1:7" s="810" customFormat="1">
      <c r="A129" s="492" t="s">
        <v>487</v>
      </c>
      <c r="B129" s="945"/>
      <c r="C129" s="476" t="s">
        <v>1501</v>
      </c>
      <c r="D129" s="475"/>
      <c r="F129" s="506"/>
      <c r="G129" s="506"/>
    </row>
    <row r="130" spans="1:7" s="810" customFormat="1">
      <c r="A130" s="492" t="s">
        <v>488</v>
      </c>
      <c r="B130" s="945"/>
      <c r="C130" s="476" t="s">
        <v>1502</v>
      </c>
      <c r="D130" s="475"/>
      <c r="F130" s="506"/>
      <c r="G130" s="506"/>
    </row>
    <row r="131" spans="1:7" s="810" customFormat="1" ht="12.75" thickBot="1">
      <c r="A131" s="492" t="s">
        <v>1410</v>
      </c>
      <c r="B131" s="945"/>
      <c r="C131" s="476" t="s">
        <v>1503</v>
      </c>
      <c r="D131" s="475"/>
      <c r="F131" s="506"/>
      <c r="G131" s="506"/>
    </row>
    <row r="132" spans="1:7" s="811" customFormat="1" ht="12.75" thickBot="1">
      <c r="A132" s="392" t="s">
        <v>22</v>
      </c>
      <c r="B132" s="962">
        <v>8</v>
      </c>
      <c r="C132" s="478" t="s">
        <v>1504</v>
      </c>
      <c r="D132" s="477">
        <f>D95+D96+D100+D101+D105+D106+D107+D108+D109+D110+D111+D112+D113+D114+D115+D116+D117+D118+D119+D120+D121+D122+D123+D124+D125+D126+D127+D128+D129+D130+D131</f>
        <v>0</v>
      </c>
      <c r="F132" s="908"/>
      <c r="G132" s="908"/>
    </row>
    <row r="133" spans="1:7" s="810" customFormat="1" ht="12.75" thickBot="1">
      <c r="A133" s="396" t="s">
        <v>4</v>
      </c>
      <c r="B133" s="946"/>
      <c r="C133" s="474" t="s">
        <v>884</v>
      </c>
      <c r="D133" s="472"/>
      <c r="F133" s="506"/>
      <c r="G133" s="506"/>
    </row>
    <row r="134" spans="1:7" s="810" customFormat="1" ht="12.75" thickBot="1">
      <c r="A134" s="502" t="s">
        <v>21</v>
      </c>
      <c r="B134" s="962">
        <v>8</v>
      </c>
      <c r="C134" s="478" t="s">
        <v>972</v>
      </c>
      <c r="D134" s="477">
        <f>+D133</f>
        <v>0</v>
      </c>
      <c r="F134" s="689">
        <f>+'1.mell._Össz_Mérleg2020'!C52</f>
        <v>0</v>
      </c>
      <c r="G134" s="689">
        <f>+ROUND((D134+D132)/1000,0)-F134</f>
        <v>0</v>
      </c>
    </row>
    <row r="135" spans="1:7" s="810" customFormat="1" ht="15.75" customHeight="1" thickBot="1">
      <c r="A135" s="495" t="s">
        <v>588</v>
      </c>
      <c r="B135" s="958"/>
      <c r="C135" s="478" t="s">
        <v>1182</v>
      </c>
      <c r="D135" s="477">
        <f>+D94+D132+D134</f>
        <v>155902000</v>
      </c>
      <c r="F135" s="689"/>
      <c r="G135" s="689"/>
    </row>
    <row r="136" spans="1:7" ht="12.75" thickBot="1">
      <c r="A136" s="495"/>
      <c r="B136" s="958"/>
      <c r="C136" s="478"/>
      <c r="D136" s="477"/>
    </row>
    <row r="137" spans="1:7" ht="12.75" thickBot="1">
      <c r="A137" s="495" t="s">
        <v>589</v>
      </c>
      <c r="B137" s="958"/>
      <c r="C137" s="478" t="s">
        <v>973</v>
      </c>
      <c r="D137" s="477">
        <f>+D70+D135</f>
        <v>917056478</v>
      </c>
      <c r="F137" s="689">
        <f>+'1.mell._Össz_Mérleg2020'!C12+'1.mell._Össz_Mérleg2020'!C52</f>
        <v>917056</v>
      </c>
      <c r="G137" s="689">
        <f>+ROUND(D137/1000,0)-F137</f>
        <v>0</v>
      </c>
    </row>
  </sheetData>
  <mergeCells count="3">
    <mergeCell ref="A3:D3"/>
    <mergeCell ref="A8:D8"/>
    <mergeCell ref="A72:D72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78" fitToHeight="2" orientation="portrait" r:id="rId1"/>
  <headerFooter>
    <oddHeader>&amp;C 10. melléklet - &amp;P. oldal</oddHeader>
  </headerFooter>
  <rowBreaks count="1" manualBreakCount="1">
    <brk id="70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K37"/>
  <sheetViews>
    <sheetView zoomScaleNormal="100" workbookViewId="0">
      <selection sqref="A1:C1"/>
    </sheetView>
  </sheetViews>
  <sheetFormatPr defaultColWidth="79" defaultRowHeight="12.75"/>
  <cols>
    <col min="1" max="1" width="2.42578125" style="751" bestFit="1" customWidth="1"/>
    <col min="2" max="2" width="23.28515625" style="917" customWidth="1"/>
    <col min="3" max="3" width="89.7109375" style="752" customWidth="1"/>
    <col min="4" max="16384" width="79" style="751"/>
  </cols>
  <sheetData>
    <row r="1" spans="1:11" s="742" customFormat="1" ht="18.75">
      <c r="A1" s="1207" t="s">
        <v>828</v>
      </c>
      <c r="B1" s="1207"/>
      <c r="C1" s="1207"/>
      <c r="D1" s="741"/>
      <c r="E1" s="741"/>
      <c r="F1" s="741"/>
      <c r="G1" s="741"/>
      <c r="H1" s="741"/>
      <c r="I1" s="741"/>
      <c r="J1" s="741"/>
      <c r="K1" s="741"/>
    </row>
    <row r="2" spans="1:11" s="742" customFormat="1">
      <c r="B2" s="915"/>
      <c r="C2" s="743"/>
    </row>
    <row r="3" spans="1:11" s="742" customFormat="1">
      <c r="A3" s="1208" t="s">
        <v>1423</v>
      </c>
      <c r="B3" s="1208"/>
      <c r="C3" s="1208"/>
      <c r="D3" s="741"/>
      <c r="E3" s="741"/>
      <c r="F3" s="741"/>
      <c r="G3" s="741"/>
      <c r="H3" s="741"/>
      <c r="I3" s="741"/>
      <c r="J3" s="741"/>
      <c r="K3" s="741"/>
    </row>
    <row r="4" spans="1:11" s="742" customFormat="1">
      <c r="B4" s="915"/>
      <c r="C4" s="743"/>
    </row>
    <row r="5" spans="1:11" s="742" customFormat="1">
      <c r="B5" s="915"/>
      <c r="C5" s="743"/>
    </row>
    <row r="6" spans="1:11" s="742" customFormat="1" ht="12.75" customHeight="1">
      <c r="A6" s="744" t="s">
        <v>4</v>
      </c>
      <c r="B6" s="1209" t="s">
        <v>1424</v>
      </c>
      <c r="C6" s="1209"/>
    </row>
    <row r="7" spans="1:11" s="744" customFormat="1" ht="38.25">
      <c r="B7" s="745" t="s">
        <v>829</v>
      </c>
      <c r="C7" s="746"/>
    </row>
    <row r="8" spans="1:11" s="742" customFormat="1">
      <c r="B8" s="747" t="s">
        <v>47</v>
      </c>
      <c r="C8" s="747" t="s">
        <v>1425</v>
      </c>
      <c r="F8" s="748"/>
      <c r="G8" s="748"/>
      <c r="H8" s="748"/>
      <c r="I8" s="748"/>
      <c r="J8" s="748"/>
      <c r="K8" s="748"/>
    </row>
    <row r="9" spans="1:11" s="742" customFormat="1">
      <c r="B9" s="747" t="s">
        <v>352</v>
      </c>
      <c r="C9" s="747" t="s">
        <v>1426</v>
      </c>
      <c r="F9" s="748"/>
      <c r="G9" s="748"/>
      <c r="H9" s="748"/>
      <c r="I9" s="748"/>
      <c r="J9" s="748"/>
      <c r="K9" s="748"/>
    </row>
    <row r="10" spans="1:11" s="742" customFormat="1">
      <c r="B10" s="747" t="s">
        <v>354</v>
      </c>
      <c r="C10" s="747" t="s">
        <v>1427</v>
      </c>
      <c r="F10" s="748"/>
      <c r="G10" s="748"/>
      <c r="H10" s="748"/>
      <c r="I10" s="748"/>
      <c r="J10" s="748"/>
      <c r="K10" s="748"/>
    </row>
    <row r="11" spans="1:11" s="742" customFormat="1">
      <c r="B11" s="747" t="s">
        <v>355</v>
      </c>
      <c r="C11" s="747" t="s">
        <v>1428</v>
      </c>
      <c r="F11" s="748"/>
      <c r="G11" s="748"/>
      <c r="H11" s="748"/>
      <c r="I11" s="748"/>
      <c r="J11" s="748"/>
      <c r="K11" s="748"/>
    </row>
    <row r="12" spans="1:11" s="742" customFormat="1">
      <c r="B12" s="747" t="s">
        <v>357</v>
      </c>
      <c r="C12" s="747" t="s">
        <v>1429</v>
      </c>
      <c r="F12" s="748"/>
      <c r="G12" s="748"/>
      <c r="H12" s="748"/>
      <c r="I12" s="748"/>
      <c r="J12" s="748"/>
      <c r="K12" s="748"/>
    </row>
    <row r="13" spans="1:11" s="742" customFormat="1">
      <c r="B13" s="747" t="s">
        <v>867</v>
      </c>
      <c r="C13" s="747" t="s">
        <v>1430</v>
      </c>
      <c r="F13" s="748"/>
      <c r="G13" s="748"/>
      <c r="H13" s="748"/>
      <c r="I13" s="748"/>
      <c r="J13" s="748"/>
      <c r="K13" s="748"/>
    </row>
    <row r="14" spans="1:11" s="742" customFormat="1">
      <c r="B14" s="747" t="s">
        <v>1072</v>
      </c>
      <c r="C14" s="747" t="s">
        <v>1431</v>
      </c>
      <c r="F14" s="748"/>
      <c r="G14" s="748"/>
      <c r="H14" s="748"/>
      <c r="I14" s="748"/>
      <c r="J14" s="748"/>
      <c r="K14" s="748"/>
    </row>
    <row r="15" spans="1:11" s="742" customFormat="1">
      <c r="B15" s="747" t="s">
        <v>387</v>
      </c>
      <c r="C15" s="747" t="s">
        <v>830</v>
      </c>
      <c r="F15" s="748"/>
      <c r="G15" s="748"/>
      <c r="H15" s="748"/>
      <c r="I15" s="748"/>
      <c r="J15" s="748"/>
      <c r="K15" s="748"/>
    </row>
    <row r="16" spans="1:11" s="742" customFormat="1">
      <c r="B16" s="747" t="s">
        <v>390</v>
      </c>
      <c r="C16" s="747" t="s">
        <v>831</v>
      </c>
      <c r="F16" s="748"/>
      <c r="G16" s="748"/>
      <c r="H16" s="748"/>
      <c r="I16" s="748"/>
      <c r="J16" s="748"/>
      <c r="K16" s="748"/>
    </row>
    <row r="17" spans="2:11" s="742" customFormat="1">
      <c r="B17" s="747" t="s">
        <v>424</v>
      </c>
      <c r="C17" s="749" t="s">
        <v>1432</v>
      </c>
      <c r="F17" s="748"/>
      <c r="G17" s="748"/>
      <c r="H17" s="748"/>
      <c r="I17" s="748"/>
      <c r="J17" s="748"/>
      <c r="K17" s="748"/>
    </row>
    <row r="18" spans="2:11" s="742" customFormat="1">
      <c r="B18" s="747" t="s">
        <v>443</v>
      </c>
      <c r="C18" s="749" t="s">
        <v>832</v>
      </c>
      <c r="F18" s="748"/>
      <c r="G18" s="748"/>
      <c r="H18" s="748"/>
      <c r="I18" s="748"/>
      <c r="J18" s="748"/>
      <c r="K18" s="748"/>
    </row>
    <row r="19" spans="2:11" s="742" customFormat="1" ht="25.5">
      <c r="B19" s="747" t="s">
        <v>455</v>
      </c>
      <c r="C19" s="747" t="s">
        <v>833</v>
      </c>
      <c r="F19" s="748"/>
    </row>
    <row r="20" spans="2:11" s="742" customFormat="1" ht="25.5">
      <c r="B20" s="745" t="s">
        <v>834</v>
      </c>
      <c r="C20" s="747"/>
      <c r="F20" s="748"/>
    </row>
    <row r="21" spans="2:11" s="742" customFormat="1">
      <c r="B21" s="747" t="s">
        <v>490</v>
      </c>
      <c r="C21" s="747" t="s">
        <v>479</v>
      </c>
    </row>
    <row r="22" spans="2:11" s="742" customFormat="1">
      <c r="B22" s="749" t="s">
        <v>491</v>
      </c>
      <c r="C22" s="749" t="s">
        <v>1433</v>
      </c>
      <c r="F22" s="748"/>
      <c r="G22" s="748"/>
      <c r="H22" s="748"/>
      <c r="I22" s="748"/>
      <c r="J22" s="748"/>
      <c r="K22" s="748"/>
    </row>
    <row r="23" spans="2:11" s="742" customFormat="1">
      <c r="B23" s="747" t="s">
        <v>835</v>
      </c>
      <c r="C23" s="747" t="s">
        <v>1434</v>
      </c>
      <c r="F23" s="748"/>
      <c r="G23" s="748"/>
      <c r="H23" s="748"/>
      <c r="I23" s="748"/>
      <c r="J23" s="748"/>
      <c r="K23" s="748"/>
    </row>
    <row r="24" spans="2:11" s="742" customFormat="1">
      <c r="B24" s="916" t="s">
        <v>836</v>
      </c>
      <c r="E24" s="748"/>
      <c r="F24" s="750"/>
      <c r="G24" s="750"/>
      <c r="H24" s="750"/>
      <c r="I24" s="750"/>
      <c r="J24" s="750"/>
      <c r="K24" s="750"/>
    </row>
    <row r="25" spans="2:11" s="742" customFormat="1" ht="25.5">
      <c r="B25" s="749" t="s">
        <v>428</v>
      </c>
      <c r="C25" s="747" t="s">
        <v>1435</v>
      </c>
      <c r="E25" s="748"/>
      <c r="F25" s="750"/>
      <c r="G25" s="750"/>
      <c r="H25" s="750"/>
      <c r="I25" s="750"/>
      <c r="J25" s="750"/>
      <c r="K25" s="750"/>
    </row>
    <row r="26" spans="2:11" s="742" customFormat="1" ht="25.5">
      <c r="B26" s="749" t="s">
        <v>478</v>
      </c>
      <c r="C26" s="743" t="s">
        <v>1436</v>
      </c>
      <c r="E26" s="748"/>
      <c r="F26" s="750"/>
      <c r="G26" s="750"/>
      <c r="H26" s="750"/>
      <c r="I26" s="750"/>
      <c r="J26" s="750"/>
      <c r="K26" s="750"/>
    </row>
    <row r="27" spans="2:11" s="742" customFormat="1">
      <c r="B27" s="749" t="s">
        <v>510</v>
      </c>
      <c r="C27" s="742" t="s">
        <v>1437</v>
      </c>
      <c r="E27" s="748"/>
      <c r="F27" s="750"/>
      <c r="G27" s="750"/>
      <c r="H27" s="750"/>
      <c r="I27" s="750"/>
      <c r="J27" s="750"/>
      <c r="K27" s="750"/>
    </row>
    <row r="28" spans="2:11">
      <c r="B28" s="749" t="s">
        <v>780</v>
      </c>
      <c r="C28" s="751" t="s">
        <v>1438</v>
      </c>
    </row>
    <row r="29" spans="2:11">
      <c r="B29" s="749" t="s">
        <v>742</v>
      </c>
      <c r="C29" s="751" t="s">
        <v>837</v>
      </c>
    </row>
    <row r="30" spans="2:11">
      <c r="B30" s="749" t="s">
        <v>591</v>
      </c>
      <c r="C30" s="751" t="s">
        <v>838</v>
      </c>
    </row>
    <row r="31" spans="2:11">
      <c r="B31" s="749" t="s">
        <v>781</v>
      </c>
      <c r="C31" s="752" t="s">
        <v>782</v>
      </c>
    </row>
    <row r="32" spans="2:11">
      <c r="B32" s="749" t="s">
        <v>839</v>
      </c>
      <c r="C32" s="751" t="s">
        <v>1439</v>
      </c>
    </row>
    <row r="33" spans="2:3">
      <c r="B33" s="753" t="s">
        <v>840</v>
      </c>
      <c r="C33" s="751"/>
    </row>
    <row r="34" spans="2:3">
      <c r="B34" s="917" t="s">
        <v>809</v>
      </c>
      <c r="C34" s="752" t="s">
        <v>1440</v>
      </c>
    </row>
    <row r="35" spans="2:3" ht="25.5">
      <c r="B35" s="917" t="s">
        <v>811</v>
      </c>
      <c r="C35" s="747" t="s">
        <v>1441</v>
      </c>
    </row>
    <row r="36" spans="2:3">
      <c r="C36" s="749"/>
    </row>
    <row r="37" spans="2:3">
      <c r="C37" s="751"/>
    </row>
  </sheetData>
  <mergeCells count="3">
    <mergeCell ref="A1:C1"/>
    <mergeCell ref="A3:C3"/>
    <mergeCell ref="B6:C6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84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 codeName="Munka24">
    <tabColor rgb="FF00B0F0"/>
    <pageSetUpPr fitToPage="1"/>
  </sheetPr>
  <dimension ref="A1:M90"/>
  <sheetViews>
    <sheetView zoomScaleNormal="100" workbookViewId="0"/>
  </sheetViews>
  <sheetFormatPr defaultColWidth="68.85546875" defaultRowHeight="12"/>
  <cols>
    <col min="1" max="1" width="98.7109375" style="506" bestFit="1" customWidth="1"/>
    <col min="2" max="3" width="10.28515625" style="506" customWidth="1"/>
    <col min="4" max="4" width="10.5703125" style="506" customWidth="1"/>
    <col min="5" max="7" width="10.28515625" style="506" customWidth="1"/>
    <col min="8" max="8" width="9.28515625" style="506" customWidth="1"/>
    <col min="9" max="13" width="9.28515625" style="506" hidden="1" customWidth="1"/>
    <col min="14" max="45" width="9.28515625" style="506" customWidth="1"/>
    <col min="46" max="16384" width="68.85546875" style="506"/>
  </cols>
  <sheetData>
    <row r="1" spans="1:13" s="1000" customFormat="1" ht="15.75">
      <c r="A1" s="1153"/>
      <c r="B1" s="520"/>
      <c r="C1" s="520"/>
      <c r="D1" s="520"/>
      <c r="E1" s="520"/>
      <c r="F1" s="520"/>
      <c r="G1" s="218" t="s">
        <v>510</v>
      </c>
    </row>
    <row r="2" spans="1:13" s="1000" customFormat="1" ht="15.75">
      <c r="A2" s="1153"/>
      <c r="B2" s="520"/>
      <c r="C2" s="520"/>
      <c r="D2" s="520"/>
      <c r="E2" s="520"/>
      <c r="F2" s="520"/>
      <c r="G2" s="218"/>
    </row>
    <row r="3" spans="1:13" s="1000" customFormat="1" ht="15.75">
      <c r="A3" s="1274" t="s">
        <v>330</v>
      </c>
      <c r="B3" s="1274"/>
      <c r="C3" s="1274"/>
      <c r="D3" s="1274"/>
      <c r="E3" s="1274"/>
      <c r="F3" s="1274"/>
      <c r="G3" s="1274"/>
    </row>
    <row r="4" spans="1:13" s="1000" customFormat="1" ht="15.75">
      <c r="A4" s="1274" t="s">
        <v>1506</v>
      </c>
      <c r="B4" s="1274"/>
      <c r="C4" s="1274"/>
      <c r="D4" s="1274"/>
      <c r="E4" s="1274"/>
      <c r="F4" s="1274"/>
      <c r="G4" s="1274"/>
    </row>
    <row r="5" spans="1:13" ht="12.75" thickBot="1">
      <c r="A5" s="1030"/>
      <c r="B5" s="1030"/>
      <c r="C5" s="1030"/>
      <c r="D5" s="1030"/>
      <c r="E5" s="1030"/>
      <c r="F5" s="1275" t="s">
        <v>49</v>
      </c>
      <c r="G5" s="1275"/>
    </row>
    <row r="6" spans="1:13" ht="48.75" thickBot="1">
      <c r="A6" s="821" t="s">
        <v>620</v>
      </c>
      <c r="B6" s="833" t="s">
        <v>606</v>
      </c>
      <c r="C6" s="521" t="s">
        <v>592</v>
      </c>
      <c r="D6" s="511" t="s">
        <v>1505</v>
      </c>
      <c r="E6" s="227" t="s">
        <v>1442</v>
      </c>
      <c r="F6" s="521" t="s">
        <v>605</v>
      </c>
      <c r="G6" s="897" t="s">
        <v>1507</v>
      </c>
    </row>
    <row r="7" spans="1:13" ht="12.75" thickBot="1">
      <c r="A7" s="822">
        <v>1</v>
      </c>
      <c r="B7" s="834">
        <v>2</v>
      </c>
      <c r="C7" s="522">
        <v>3</v>
      </c>
      <c r="D7" s="510">
        <v>4</v>
      </c>
      <c r="E7" s="523">
        <v>5</v>
      </c>
      <c r="F7" s="522">
        <v>6</v>
      </c>
      <c r="G7" s="898" t="s">
        <v>593</v>
      </c>
    </row>
    <row r="8" spans="1:13">
      <c r="A8" s="823" t="s">
        <v>599</v>
      </c>
      <c r="B8" s="524"/>
      <c r="C8" s="829"/>
      <c r="D8" s="509"/>
      <c r="E8" s="524"/>
      <c r="F8" s="508"/>
      <c r="G8" s="899"/>
    </row>
    <row r="9" spans="1:13">
      <c r="A9" s="824" t="s">
        <v>1159</v>
      </c>
      <c r="B9" s="329">
        <f>2000+2000+13205+19807+4500+8488</f>
        <v>50000</v>
      </c>
      <c r="C9" s="830"/>
      <c r="D9" s="355"/>
      <c r="E9" s="329">
        <f>2000+2000+13205+19807+12988</f>
        <v>50000</v>
      </c>
      <c r="F9" s="507"/>
      <c r="G9" s="900">
        <f>+B9-D9-E9</f>
        <v>0</v>
      </c>
      <c r="L9" s="689">
        <f>+E9</f>
        <v>50000</v>
      </c>
      <c r="M9" s="689">
        <f t="shared" ref="M9:M12" si="0">+E9-L9</f>
        <v>0</v>
      </c>
    </row>
    <row r="10" spans="1:13">
      <c r="A10" s="824" t="s">
        <v>1529</v>
      </c>
      <c r="B10" s="329">
        <v>10000</v>
      </c>
      <c r="C10" s="830"/>
      <c r="D10" s="355"/>
      <c r="E10" s="329">
        <v>10000</v>
      </c>
      <c r="F10" s="507"/>
      <c r="G10" s="900">
        <f t="shared" ref="G10:G12" si="1">+B10-D10-E10</f>
        <v>0</v>
      </c>
      <c r="L10" s="689">
        <f>+ROUND(E10/1.27,0)</f>
        <v>7874</v>
      </c>
      <c r="M10" s="689">
        <f>+E10-L10</f>
        <v>2126</v>
      </c>
    </row>
    <row r="11" spans="1:13">
      <c r="A11" s="824" t="s">
        <v>1160</v>
      </c>
      <c r="B11" s="329">
        <v>5000</v>
      </c>
      <c r="C11" s="830"/>
      <c r="D11" s="355"/>
      <c r="E11" s="329">
        <v>5000</v>
      </c>
      <c r="F11" s="507"/>
      <c r="G11" s="900">
        <f t="shared" si="1"/>
        <v>0</v>
      </c>
      <c r="L11" s="689">
        <f t="shared" ref="L11:L12" si="2">+ROUND(E11/1.27,0)</f>
        <v>3937</v>
      </c>
      <c r="M11" s="689">
        <f t="shared" si="0"/>
        <v>1063</v>
      </c>
    </row>
    <row r="12" spans="1:13">
      <c r="A12" s="824" t="s">
        <v>1163</v>
      </c>
      <c r="B12" s="329">
        <v>8500</v>
      </c>
      <c r="C12" s="830"/>
      <c r="D12" s="355"/>
      <c r="E12" s="329">
        <v>8500</v>
      </c>
      <c r="F12" s="507"/>
      <c r="G12" s="900">
        <f t="shared" si="1"/>
        <v>0</v>
      </c>
      <c r="L12" s="689">
        <f t="shared" si="2"/>
        <v>6693</v>
      </c>
      <c r="M12" s="689">
        <f t="shared" si="0"/>
        <v>1807</v>
      </c>
    </row>
    <row r="13" spans="1:13">
      <c r="A13" s="824" t="s">
        <v>1346</v>
      </c>
      <c r="B13" s="329">
        <f>2000-500</f>
        <v>1500</v>
      </c>
      <c r="C13" s="830"/>
      <c r="D13" s="355"/>
      <c r="E13" s="329">
        <f>2000-500</f>
        <v>1500</v>
      </c>
      <c r="F13" s="507"/>
      <c r="G13" s="900">
        <f t="shared" ref="G13:G14" si="3">+B13-D13-E13</f>
        <v>0</v>
      </c>
      <c r="L13" s="689">
        <f t="shared" ref="L13:L14" si="4">+ROUND(E13/1.27,0)</f>
        <v>1181</v>
      </c>
      <c r="M13" s="689">
        <f t="shared" ref="M13:M14" si="5">+E13-L13</f>
        <v>319</v>
      </c>
    </row>
    <row r="14" spans="1:13" ht="12.75" thickBot="1">
      <c r="A14" s="824" t="s">
        <v>1366</v>
      </c>
      <c r="B14" s="329">
        <v>350000</v>
      </c>
      <c r="C14" s="830"/>
      <c r="D14" s="355">
        <v>4750</v>
      </c>
      <c r="E14" s="329">
        <v>345250</v>
      </c>
      <c r="F14" s="507">
        <v>350000</v>
      </c>
      <c r="G14" s="900">
        <f t="shared" si="3"/>
        <v>0</v>
      </c>
      <c r="L14" s="689">
        <f t="shared" si="4"/>
        <v>271850</v>
      </c>
      <c r="M14" s="689">
        <f t="shared" si="5"/>
        <v>73400</v>
      </c>
    </row>
    <row r="15" spans="1:13" ht="12.75" thickBot="1">
      <c r="A15" s="825" t="s">
        <v>600</v>
      </c>
      <c r="B15" s="364">
        <f>SUM(B8:B14)</f>
        <v>425000</v>
      </c>
      <c r="C15" s="1401" t="s">
        <v>19</v>
      </c>
      <c r="D15" s="366">
        <f>SUM(D8:D14)</f>
        <v>4750</v>
      </c>
      <c r="E15" s="364">
        <f>SUM(E8:E14)</f>
        <v>420250</v>
      </c>
      <c r="F15" s="512">
        <f>SUM(F8:F14)</f>
        <v>350000</v>
      </c>
      <c r="G15" s="346">
        <f>SUM(G8:G14)</f>
        <v>0</v>
      </c>
    </row>
    <row r="16" spans="1:13">
      <c r="A16" s="823" t="s">
        <v>873</v>
      </c>
      <c r="B16" s="524"/>
      <c r="C16" s="829"/>
      <c r="D16" s="509"/>
      <c r="E16" s="524"/>
      <c r="F16" s="508"/>
      <c r="G16" s="899"/>
    </row>
    <row r="17" spans="1:13" ht="12.75" thickBot="1">
      <c r="A17" s="824" t="s">
        <v>1528</v>
      </c>
      <c r="B17" s="329">
        <v>4000</v>
      </c>
      <c r="C17" s="830"/>
      <c r="D17" s="355"/>
      <c r="E17" s="329">
        <v>4000</v>
      </c>
      <c r="F17" s="507"/>
      <c r="G17" s="900">
        <f>+B17-D17-E17</f>
        <v>0</v>
      </c>
    </row>
    <row r="18" spans="1:13" ht="12.75" thickBot="1">
      <c r="A18" s="825" t="s">
        <v>874</v>
      </c>
      <c r="B18" s="364">
        <f>+B17</f>
        <v>4000</v>
      </c>
      <c r="C18" s="1401" t="s">
        <v>19</v>
      </c>
      <c r="D18" s="366">
        <f>+D17</f>
        <v>0</v>
      </c>
      <c r="E18" s="364">
        <f>+E17</f>
        <v>4000</v>
      </c>
      <c r="F18" s="512">
        <f>+F17</f>
        <v>0</v>
      </c>
      <c r="G18" s="346">
        <f>+G17</f>
        <v>0</v>
      </c>
    </row>
    <row r="19" spans="1:13">
      <c r="A19" s="823" t="s">
        <v>601</v>
      </c>
      <c r="B19" s="524"/>
      <c r="C19" s="829"/>
      <c r="D19" s="509"/>
      <c r="E19" s="524"/>
      <c r="F19" s="508"/>
      <c r="G19" s="899"/>
      <c r="L19" s="689"/>
      <c r="M19" s="689"/>
    </row>
    <row r="20" spans="1:13" ht="12.75" thickBot="1">
      <c r="A20" s="824" t="s">
        <v>1162</v>
      </c>
      <c r="B20" s="329">
        <f>1600-500</f>
        <v>1100</v>
      </c>
      <c r="C20" s="830"/>
      <c r="D20" s="355"/>
      <c r="E20" s="329">
        <f>1600-500</f>
        <v>1100</v>
      </c>
      <c r="F20" s="507"/>
      <c r="G20" s="900">
        <f>+B20-D20-E20</f>
        <v>0</v>
      </c>
      <c r="L20" s="689">
        <f>+ROUND(E20/1.27,0)</f>
        <v>866</v>
      </c>
      <c r="M20" s="689">
        <f>+E20-L20</f>
        <v>234</v>
      </c>
    </row>
    <row r="21" spans="1:13" ht="12.75" thickBot="1">
      <c r="A21" s="825" t="s">
        <v>602</v>
      </c>
      <c r="B21" s="364">
        <f>+B20</f>
        <v>1100</v>
      </c>
      <c r="C21" s="1401" t="s">
        <v>19</v>
      </c>
      <c r="D21" s="366">
        <f>+D20</f>
        <v>0</v>
      </c>
      <c r="E21" s="364">
        <f>+E20</f>
        <v>1100</v>
      </c>
      <c r="F21" s="512">
        <f>+F20</f>
        <v>0</v>
      </c>
      <c r="G21" s="346">
        <f>+G20</f>
        <v>0</v>
      </c>
    </row>
    <row r="22" spans="1:13">
      <c r="A22" s="823" t="s">
        <v>603</v>
      </c>
      <c r="B22" s="524"/>
      <c r="C22" s="829"/>
      <c r="D22" s="509"/>
      <c r="E22" s="524"/>
      <c r="F22" s="508"/>
      <c r="G22" s="899"/>
    </row>
    <row r="23" spans="1:13">
      <c r="A23" s="824" t="s">
        <v>1527</v>
      </c>
      <c r="B23" s="329">
        <f>4721+2626</f>
        <v>7347</v>
      </c>
      <c r="C23" s="830"/>
      <c r="D23" s="355"/>
      <c r="E23" s="329">
        <f>10000-2653</f>
        <v>7347</v>
      </c>
      <c r="F23" s="507">
        <v>2626</v>
      </c>
      <c r="G23" s="900">
        <f>+B23-D23-E23</f>
        <v>0</v>
      </c>
      <c r="L23" s="689">
        <f>+ROUND(E23/1.27,0)</f>
        <v>5785</v>
      </c>
      <c r="M23" s="689">
        <f>+E23-L23</f>
        <v>1562</v>
      </c>
    </row>
    <row r="24" spans="1:13">
      <c r="A24" s="824" t="s">
        <v>1347</v>
      </c>
      <c r="B24" s="329">
        <f>2032-1332</f>
        <v>700</v>
      </c>
      <c r="C24" s="830"/>
      <c r="D24" s="355"/>
      <c r="E24" s="329">
        <f>2032-1332</f>
        <v>700</v>
      </c>
      <c r="F24" s="507"/>
      <c r="G24" s="900">
        <f>+B24-D24-E24</f>
        <v>0</v>
      </c>
      <c r="L24" s="689">
        <f>+ROUND(E24/1.27,0)</f>
        <v>551</v>
      </c>
      <c r="M24" s="689">
        <f>+E24-L24</f>
        <v>149</v>
      </c>
    </row>
    <row r="25" spans="1:13">
      <c r="A25" s="824" t="s">
        <v>1162</v>
      </c>
      <c r="B25" s="329">
        <f>495-240</f>
        <v>255</v>
      </c>
      <c r="C25" s="830"/>
      <c r="D25" s="355"/>
      <c r="E25" s="329">
        <f>495-240</f>
        <v>255</v>
      </c>
      <c r="F25" s="507"/>
      <c r="G25" s="900">
        <f>+B25-D25-E25</f>
        <v>0</v>
      </c>
      <c r="L25" s="689">
        <f>+ROUND(E25/1.27,0)</f>
        <v>201</v>
      </c>
      <c r="M25" s="689">
        <f>+E25-L25</f>
        <v>54</v>
      </c>
    </row>
    <row r="26" spans="1:13">
      <c r="A26" s="824" t="s">
        <v>1533</v>
      </c>
      <c r="B26" s="329">
        <v>1650</v>
      </c>
      <c r="C26" s="830"/>
      <c r="D26" s="355"/>
      <c r="E26" s="329">
        <f>1650</f>
        <v>1650</v>
      </c>
      <c r="F26" s="507"/>
      <c r="G26" s="900">
        <f>+B26-D26-E26</f>
        <v>0</v>
      </c>
      <c r="L26" s="689">
        <f>+ROUND(E26/1.27,0)</f>
        <v>1299</v>
      </c>
      <c r="M26" s="689">
        <f>+E26-L26</f>
        <v>351</v>
      </c>
    </row>
    <row r="27" spans="1:13" ht="12.75" thickBot="1">
      <c r="A27" s="824" t="s">
        <v>1532</v>
      </c>
      <c r="B27" s="329">
        <v>420</v>
      </c>
      <c r="C27" s="830"/>
      <c r="D27" s="355"/>
      <c r="E27" s="329">
        <v>420</v>
      </c>
      <c r="F27" s="507"/>
      <c r="G27" s="900">
        <f>+B27-D27-E27</f>
        <v>0</v>
      </c>
      <c r="L27" s="689">
        <f>+ROUND(E27/1.27,0)</f>
        <v>331</v>
      </c>
      <c r="M27" s="689">
        <f>+E27-L27</f>
        <v>89</v>
      </c>
    </row>
    <row r="28" spans="1:13" ht="12.75" thickBot="1">
      <c r="A28" s="825" t="s">
        <v>604</v>
      </c>
      <c r="B28" s="364">
        <f>SUM(B23:B27)</f>
        <v>10372</v>
      </c>
      <c r="C28" s="1401" t="s">
        <v>19</v>
      </c>
      <c r="D28" s="366">
        <f t="shared" ref="D28:G28" si="6">SUM(D23:D27)</f>
        <v>0</v>
      </c>
      <c r="E28" s="364">
        <f t="shared" si="6"/>
        <v>10372</v>
      </c>
      <c r="F28" s="512">
        <f t="shared" si="6"/>
        <v>2626</v>
      </c>
      <c r="G28" s="346">
        <f t="shared" si="6"/>
        <v>0</v>
      </c>
    </row>
    <row r="29" spans="1:13">
      <c r="A29" s="823" t="s">
        <v>864</v>
      </c>
      <c r="B29" s="524"/>
      <c r="C29" s="829"/>
      <c r="D29" s="509"/>
      <c r="E29" s="524"/>
      <c r="F29" s="508"/>
      <c r="G29" s="899"/>
    </row>
    <row r="30" spans="1:13" ht="12.75" thickBot="1">
      <c r="A30" s="824" t="s">
        <v>1161</v>
      </c>
      <c r="B30" s="329">
        <f>500-500+1000+1500-1500</f>
        <v>1000</v>
      </c>
      <c r="C30" s="830"/>
      <c r="D30" s="355"/>
      <c r="E30" s="329">
        <f>500-500+1000+1500-1500</f>
        <v>1000</v>
      </c>
      <c r="F30" s="507"/>
      <c r="G30" s="900">
        <f>+B30-D30-E30</f>
        <v>0</v>
      </c>
      <c r="L30" s="689">
        <f>+ROUND(E30/1.27,0)</f>
        <v>787</v>
      </c>
      <c r="M30" s="689">
        <f>+E30-L30</f>
        <v>213</v>
      </c>
    </row>
    <row r="31" spans="1:13" ht="12.75" thickBot="1">
      <c r="A31" s="825" t="s">
        <v>863</v>
      </c>
      <c r="B31" s="364">
        <f>+B30</f>
        <v>1000</v>
      </c>
      <c r="C31" s="1401" t="s">
        <v>19</v>
      </c>
      <c r="D31" s="366">
        <f>+D30</f>
        <v>0</v>
      </c>
      <c r="E31" s="364">
        <f>+E30</f>
        <v>1000</v>
      </c>
      <c r="F31" s="512">
        <f>+F30</f>
        <v>0</v>
      </c>
      <c r="G31" s="346">
        <f>+G30</f>
        <v>0</v>
      </c>
    </row>
    <row r="32" spans="1:13">
      <c r="A32" s="823" t="s">
        <v>1273</v>
      </c>
      <c r="B32" s="524"/>
      <c r="C32" s="829"/>
      <c r="D32" s="509"/>
      <c r="E32" s="524"/>
      <c r="F32" s="508"/>
      <c r="G32" s="899"/>
    </row>
    <row r="33" spans="1:13" ht="12.75" thickBot="1">
      <c r="A33" s="824" t="s">
        <v>19</v>
      </c>
      <c r="B33" s="329"/>
      <c r="C33" s="830"/>
      <c r="D33" s="355"/>
      <c r="E33" s="329"/>
      <c r="F33" s="507"/>
      <c r="G33" s="900">
        <f>+B33-D33-E33</f>
        <v>0</v>
      </c>
      <c r="L33" s="689">
        <f>+ROUND(E33/1.27,0)</f>
        <v>0</v>
      </c>
      <c r="M33" s="689">
        <f>+E33-L33</f>
        <v>0</v>
      </c>
    </row>
    <row r="34" spans="1:13" ht="12.75" thickBot="1">
      <c r="A34" s="825" t="s">
        <v>1274</v>
      </c>
      <c r="B34" s="364">
        <f>+B33</f>
        <v>0</v>
      </c>
      <c r="C34" s="1401" t="s">
        <v>19</v>
      </c>
      <c r="D34" s="366">
        <f>+D33</f>
        <v>0</v>
      </c>
      <c r="E34" s="364">
        <f>+E33</f>
        <v>0</v>
      </c>
      <c r="F34" s="512">
        <f>+F33</f>
        <v>0</v>
      </c>
      <c r="G34" s="346">
        <f>+G33</f>
        <v>0</v>
      </c>
    </row>
    <row r="35" spans="1:13">
      <c r="A35" s="826" t="s">
        <v>615</v>
      </c>
      <c r="B35" s="525"/>
      <c r="C35" s="831"/>
      <c r="D35" s="513"/>
      <c r="E35" s="525"/>
      <c r="F35" s="514"/>
      <c r="G35" s="901"/>
    </row>
    <row r="36" spans="1:13" ht="12.75" thickBot="1">
      <c r="A36" s="824" t="s">
        <v>19</v>
      </c>
      <c r="B36" s="329"/>
      <c r="C36" s="830"/>
      <c r="D36" s="355"/>
      <c r="E36" s="329"/>
      <c r="F36" s="507"/>
      <c r="G36" s="900">
        <f t="shared" ref="G36" si="7">+B36-D36-E36</f>
        <v>0</v>
      </c>
      <c r="L36" s="689">
        <f t="shared" ref="L36" si="8">+ROUND(E36/1.27,0)</f>
        <v>0</v>
      </c>
      <c r="M36" s="689">
        <f t="shared" ref="M36" si="9">+E36-L36</f>
        <v>0</v>
      </c>
    </row>
    <row r="37" spans="1:13" ht="12.75" thickBot="1">
      <c r="A37" s="825" t="s">
        <v>616</v>
      </c>
      <c r="B37" s="364">
        <f>SUM(B36:B36)</f>
        <v>0</v>
      </c>
      <c r="C37" s="1401" t="s">
        <v>19</v>
      </c>
      <c r="D37" s="366">
        <f>SUM(D36:D36)</f>
        <v>0</v>
      </c>
      <c r="E37" s="364">
        <f>SUM(E36:E36)</f>
        <v>0</v>
      </c>
      <c r="F37" s="512">
        <f>SUM(F36:F36)</f>
        <v>0</v>
      </c>
      <c r="G37" s="346">
        <f>SUM(G36:G36)</f>
        <v>0</v>
      </c>
      <c r="I37" s="689">
        <f>+'1.mell._Össz_Mérleg2020'!C151</f>
        <v>0</v>
      </c>
      <c r="J37" s="689">
        <f>+E37-I37</f>
        <v>0</v>
      </c>
    </row>
    <row r="38" spans="1:13" ht="12.75" thickBot="1">
      <c r="A38" s="827"/>
      <c r="B38" s="526"/>
      <c r="C38" s="832"/>
      <c r="D38" s="515"/>
      <c r="E38" s="526"/>
      <c r="F38" s="516"/>
      <c r="G38" s="902"/>
    </row>
    <row r="39" spans="1:13" ht="12.75" thickBot="1">
      <c r="A39" s="828" t="s">
        <v>607</v>
      </c>
      <c r="B39" s="527">
        <f>+B15+B18+B21+B28+B31+B34+B37</f>
        <v>441472</v>
      </c>
      <c r="C39" s="1401" t="s">
        <v>19</v>
      </c>
      <c r="D39" s="517">
        <f>+D15+D18+D21+D28+D31+D34+D37</f>
        <v>4750</v>
      </c>
      <c r="E39" s="527">
        <f>+E15+E18+E21+E28+E31+E34+E37</f>
        <v>436722</v>
      </c>
      <c r="F39" s="518">
        <f>+F15+F18+F21+F28+F31+F34+F37</f>
        <v>352626</v>
      </c>
      <c r="G39" s="903">
        <f>+G15+G18+G21+G28+G31+G34+G37</f>
        <v>0</v>
      </c>
      <c r="I39" s="689">
        <f>+'1.mell._Össz_Mérleg2020'!C150</f>
        <v>436722</v>
      </c>
      <c r="J39" s="689">
        <f>+E39-I39</f>
        <v>0</v>
      </c>
    </row>
    <row r="40" spans="1:13" ht="12.75" thickBot="1">
      <c r="A40" s="532"/>
      <c r="B40" s="528"/>
      <c r="C40" s="1402"/>
      <c r="D40" s="528"/>
      <c r="E40" s="528"/>
      <c r="F40" s="528"/>
      <c r="G40" s="528"/>
    </row>
    <row r="41" spans="1:13">
      <c r="A41" s="835" t="s">
        <v>594</v>
      </c>
      <c r="B41" s="530"/>
      <c r="C41" s="836"/>
      <c r="D41" s="529"/>
      <c r="E41" s="530"/>
      <c r="F41" s="531"/>
      <c r="G41" s="904"/>
    </row>
    <row r="42" spans="1:13">
      <c r="A42" s="824" t="s">
        <v>1348</v>
      </c>
      <c r="B42" s="329">
        <v>6000</v>
      </c>
      <c r="C42" s="830"/>
      <c r="D42" s="355"/>
      <c r="E42" s="329">
        <v>6000</v>
      </c>
      <c r="F42" s="507"/>
      <c r="G42" s="900">
        <f>+B42-D42-E42</f>
        <v>0</v>
      </c>
      <c r="L42" s="689">
        <f>+ROUND(E42/1.27,0)</f>
        <v>4724</v>
      </c>
      <c r="M42" s="689">
        <f>+E42-L42</f>
        <v>1276</v>
      </c>
    </row>
    <row r="43" spans="1:13">
      <c r="A43" s="824" t="s">
        <v>1530</v>
      </c>
      <c r="B43" s="329">
        <v>41258</v>
      </c>
      <c r="C43" s="830"/>
      <c r="D43" s="355"/>
      <c r="E43" s="329">
        <v>41258</v>
      </c>
      <c r="F43" s="507">
        <v>30000</v>
      </c>
      <c r="G43" s="900">
        <f>+B43-D43-E43</f>
        <v>0</v>
      </c>
      <c r="L43" s="689">
        <f>+ROUND(E43/1.27,0)</f>
        <v>32487</v>
      </c>
      <c r="M43" s="689">
        <f>+E43-L43</f>
        <v>8771</v>
      </c>
    </row>
    <row r="44" spans="1:13">
      <c r="A44" s="824" t="s">
        <v>1534</v>
      </c>
      <c r="B44" s="329">
        <v>20000</v>
      </c>
      <c r="C44" s="830"/>
      <c r="D44" s="355"/>
      <c r="E44" s="329">
        <v>20000</v>
      </c>
      <c r="F44" s="507"/>
      <c r="G44" s="900">
        <f>+B44-D44-E44</f>
        <v>0</v>
      </c>
      <c r="L44" s="689">
        <f>+ROUND(E44/1.27,0)</f>
        <v>15748</v>
      </c>
      <c r="M44" s="689">
        <f>+E44-L44</f>
        <v>4252</v>
      </c>
    </row>
    <row r="45" spans="1:13" ht="12.75" thickBot="1">
      <c r="A45" s="824" t="s">
        <v>1531</v>
      </c>
      <c r="B45" s="329">
        <f>4000-4000</f>
        <v>0</v>
      </c>
      <c r="C45" s="830"/>
      <c r="D45" s="355"/>
      <c r="E45" s="329">
        <f>4000-4000</f>
        <v>0</v>
      </c>
      <c r="F45" s="507"/>
      <c r="G45" s="900">
        <f>+B45-D45-E45</f>
        <v>0</v>
      </c>
      <c r="L45" s="689">
        <f>+ROUND(E45/1.27,0)</f>
        <v>0</v>
      </c>
      <c r="M45" s="689">
        <f>+E45-L45</f>
        <v>0</v>
      </c>
    </row>
    <row r="46" spans="1:13" ht="12.75" thickBot="1">
      <c r="A46" s="825" t="s">
        <v>595</v>
      </c>
      <c r="B46" s="364">
        <f>SUM(B42:B45)</f>
        <v>67258</v>
      </c>
      <c r="C46" s="1401" t="s">
        <v>19</v>
      </c>
      <c r="D46" s="366">
        <f>SUM(D42:D45)</f>
        <v>0</v>
      </c>
      <c r="E46" s="364">
        <f>SUM(E42:E45)</f>
        <v>67258</v>
      </c>
      <c r="F46" s="512">
        <f>SUM(F42:F45)</f>
        <v>30000</v>
      </c>
      <c r="G46" s="346">
        <f>SUM(G42:G45)</f>
        <v>0</v>
      </c>
    </row>
    <row r="47" spans="1:13">
      <c r="A47" s="823" t="s">
        <v>875</v>
      </c>
      <c r="B47" s="524"/>
      <c r="C47" s="829"/>
      <c r="D47" s="509"/>
      <c r="E47" s="524"/>
      <c r="F47" s="508"/>
      <c r="G47" s="899"/>
    </row>
    <row r="48" spans="1:13" ht="12.75" thickBot="1">
      <c r="A48" s="824" t="s">
        <v>19</v>
      </c>
      <c r="B48" s="329"/>
      <c r="C48" s="830"/>
      <c r="D48" s="355"/>
      <c r="E48" s="329"/>
      <c r="F48" s="507"/>
      <c r="G48" s="900">
        <f>+B48-D48-E48</f>
        <v>0</v>
      </c>
    </row>
    <row r="49" spans="1:13" ht="12.75" thickBot="1">
      <c r="A49" s="825" t="s">
        <v>876</v>
      </c>
      <c r="B49" s="364">
        <f>+B48</f>
        <v>0</v>
      </c>
      <c r="C49" s="1401" t="s">
        <v>19</v>
      </c>
      <c r="D49" s="366">
        <f>+D48</f>
        <v>0</v>
      </c>
      <c r="E49" s="364">
        <f>+E48</f>
        <v>0</v>
      </c>
      <c r="F49" s="512">
        <f>+F48</f>
        <v>0</v>
      </c>
      <c r="G49" s="346">
        <f>+G48</f>
        <v>0</v>
      </c>
    </row>
    <row r="50" spans="1:13">
      <c r="A50" s="823" t="s">
        <v>596</v>
      </c>
      <c r="B50" s="524"/>
      <c r="C50" s="829"/>
      <c r="D50" s="509"/>
      <c r="E50" s="524"/>
      <c r="F50" s="508"/>
      <c r="G50" s="899"/>
    </row>
    <row r="51" spans="1:13" ht="12.75" thickBot="1">
      <c r="A51" s="824" t="s">
        <v>19</v>
      </c>
      <c r="B51" s="329"/>
      <c r="C51" s="830"/>
      <c r="D51" s="355"/>
      <c r="E51" s="329"/>
      <c r="F51" s="507"/>
      <c r="G51" s="900">
        <f>+B51-D51-E51</f>
        <v>0</v>
      </c>
    </row>
    <row r="52" spans="1:13" ht="12.75" thickBot="1">
      <c r="A52" s="825" t="s">
        <v>597</v>
      </c>
      <c r="B52" s="364">
        <f>+B51</f>
        <v>0</v>
      </c>
      <c r="C52" s="1401" t="s">
        <v>19</v>
      </c>
      <c r="D52" s="366">
        <f>+D51</f>
        <v>0</v>
      </c>
      <c r="E52" s="364">
        <f>+E51</f>
        <v>0</v>
      </c>
      <c r="F52" s="512">
        <f>+F51</f>
        <v>0</v>
      </c>
      <c r="G52" s="346">
        <f>+G51</f>
        <v>0</v>
      </c>
    </row>
    <row r="53" spans="1:13">
      <c r="A53" s="823" t="s">
        <v>889</v>
      </c>
      <c r="B53" s="524"/>
      <c r="C53" s="829"/>
      <c r="D53" s="509"/>
      <c r="E53" s="524"/>
      <c r="F53" s="508"/>
      <c r="G53" s="899"/>
    </row>
    <row r="54" spans="1:13" ht="12.75" thickBot="1">
      <c r="A54" s="824" t="s">
        <v>19</v>
      </c>
      <c r="B54" s="329"/>
      <c r="C54" s="830"/>
      <c r="D54" s="355"/>
      <c r="E54" s="329"/>
      <c r="F54" s="507"/>
      <c r="G54" s="900">
        <f>+B54-D54-E54</f>
        <v>0</v>
      </c>
      <c r="L54" s="689">
        <f>+ROUND(E54/1.27,0)</f>
        <v>0</v>
      </c>
      <c r="M54" s="689">
        <f>+E54-L54</f>
        <v>0</v>
      </c>
    </row>
    <row r="55" spans="1:13" ht="12.75" thickBot="1">
      <c r="A55" s="825" t="s">
        <v>598</v>
      </c>
      <c r="B55" s="364">
        <f>SUM(B54:B54)</f>
        <v>0</v>
      </c>
      <c r="C55" s="1401" t="s">
        <v>19</v>
      </c>
      <c r="D55" s="366">
        <f>SUM(D54:D54)</f>
        <v>0</v>
      </c>
      <c r="E55" s="364">
        <f>SUM(E54:E54)</f>
        <v>0</v>
      </c>
      <c r="F55" s="512">
        <f>SUM(F54:F54)</f>
        <v>0</v>
      </c>
      <c r="G55" s="346">
        <f>SUM(G54:G54)</f>
        <v>0</v>
      </c>
    </row>
    <row r="56" spans="1:13">
      <c r="A56" s="823" t="s">
        <v>890</v>
      </c>
      <c r="B56" s="524"/>
      <c r="C56" s="829"/>
      <c r="D56" s="509"/>
      <c r="E56" s="524"/>
      <c r="F56" s="508"/>
      <c r="G56" s="899"/>
    </row>
    <row r="57" spans="1:13" ht="12.75" thickBot="1">
      <c r="A57" s="824" t="s">
        <v>19</v>
      </c>
      <c r="B57" s="329"/>
      <c r="C57" s="830"/>
      <c r="D57" s="355"/>
      <c r="E57" s="329"/>
      <c r="F57" s="507"/>
      <c r="G57" s="900">
        <f>+B57-D57-E57</f>
        <v>0</v>
      </c>
    </row>
    <row r="58" spans="1:13" ht="12.75" thickBot="1">
      <c r="A58" s="825" t="s">
        <v>1277</v>
      </c>
      <c r="B58" s="364">
        <f>+B57</f>
        <v>0</v>
      </c>
      <c r="C58" s="1401" t="s">
        <v>19</v>
      </c>
      <c r="D58" s="366">
        <f>+D57</f>
        <v>0</v>
      </c>
      <c r="E58" s="364">
        <f>+E57</f>
        <v>0</v>
      </c>
      <c r="F58" s="512">
        <f>+F57</f>
        <v>0</v>
      </c>
      <c r="G58" s="346">
        <f>+G57</f>
        <v>0</v>
      </c>
    </row>
    <row r="59" spans="1:13">
      <c r="A59" s="823" t="s">
        <v>1275</v>
      </c>
      <c r="B59" s="524"/>
      <c r="C59" s="829"/>
      <c r="D59" s="509"/>
      <c r="E59" s="524"/>
      <c r="F59" s="508"/>
      <c r="G59" s="899"/>
    </row>
    <row r="60" spans="1:13" ht="12.75" thickBot="1">
      <c r="A60" s="824" t="s">
        <v>19</v>
      </c>
      <c r="B60" s="329"/>
      <c r="C60" s="830"/>
      <c r="D60" s="355"/>
      <c r="E60" s="329"/>
      <c r="F60" s="507"/>
      <c r="G60" s="900">
        <f>+B60-D60-E60</f>
        <v>0</v>
      </c>
    </row>
    <row r="61" spans="1:13" ht="12.75" thickBot="1">
      <c r="A61" s="825" t="s">
        <v>1276</v>
      </c>
      <c r="B61" s="364">
        <f>+B60</f>
        <v>0</v>
      </c>
      <c r="C61" s="1401" t="s">
        <v>19</v>
      </c>
      <c r="D61" s="366">
        <f>+D60</f>
        <v>0</v>
      </c>
      <c r="E61" s="364">
        <f>+E60</f>
        <v>0</v>
      </c>
      <c r="F61" s="512">
        <f>+F60</f>
        <v>0</v>
      </c>
      <c r="G61" s="346">
        <f>+G60</f>
        <v>0</v>
      </c>
    </row>
    <row r="62" spans="1:13">
      <c r="A62" s="826" t="s">
        <v>617</v>
      </c>
      <c r="B62" s="525"/>
      <c r="C62" s="831"/>
      <c r="D62" s="513"/>
      <c r="E62" s="525"/>
      <c r="F62" s="514"/>
      <c r="G62" s="901"/>
    </row>
    <row r="63" spans="1:13" ht="12.75" thickBot="1">
      <c r="A63" s="824" t="s">
        <v>19</v>
      </c>
      <c r="B63" s="329"/>
      <c r="C63" s="830"/>
      <c r="D63" s="355"/>
      <c r="E63" s="329"/>
      <c r="F63" s="507"/>
      <c r="G63" s="900">
        <f t="shared" ref="G63" si="10">+B63-D63-E63</f>
        <v>0</v>
      </c>
      <c r="L63" s="689">
        <f t="shared" ref="L63" si="11">+ROUND(E63/1.27,0)</f>
        <v>0</v>
      </c>
      <c r="M63" s="689">
        <f t="shared" ref="M63" si="12">+E63-L63</f>
        <v>0</v>
      </c>
    </row>
    <row r="64" spans="1:13" ht="12.75" thickBot="1">
      <c r="A64" s="825" t="s">
        <v>618</v>
      </c>
      <c r="B64" s="364">
        <f>SUM(B63:B63)</f>
        <v>0</v>
      </c>
      <c r="C64" s="1401" t="s">
        <v>19</v>
      </c>
      <c r="D64" s="366">
        <f>SUM(D63:D63)</f>
        <v>0</v>
      </c>
      <c r="E64" s="364">
        <f>SUM(E63:E63)</f>
        <v>0</v>
      </c>
      <c r="F64" s="512">
        <f>SUM(F63:F63)</f>
        <v>0</v>
      </c>
      <c r="G64" s="346">
        <f>SUM(G63:G63)</f>
        <v>0</v>
      </c>
      <c r="I64" s="689">
        <f>+'1.mell._Össz_Mérleg2020'!C160</f>
        <v>0</v>
      </c>
      <c r="J64" s="689">
        <f>+E64-I64</f>
        <v>0</v>
      </c>
    </row>
    <row r="65" spans="1:10" ht="12.75" thickBot="1">
      <c r="A65" s="827"/>
      <c r="B65" s="526"/>
      <c r="C65" s="832"/>
      <c r="D65" s="515"/>
      <c r="E65" s="526"/>
      <c r="F65" s="516"/>
      <c r="G65" s="902"/>
    </row>
    <row r="66" spans="1:10" ht="12.75" thickBot="1">
      <c r="A66" s="828" t="s">
        <v>608</v>
      </c>
      <c r="B66" s="527">
        <f>+B46+B49+B52+B55+B58+B61+B64</f>
        <v>67258</v>
      </c>
      <c r="C66" s="1401" t="s">
        <v>19</v>
      </c>
      <c r="D66" s="517">
        <f>+D46+D49+D52+D55+D58+D61+D64</f>
        <v>0</v>
      </c>
      <c r="E66" s="527">
        <f>+E46+E49+E52+E55+E58+E61+E64</f>
        <v>67258</v>
      </c>
      <c r="F66" s="518">
        <f>+F46+F49+F52+F55+F58+F61+F64</f>
        <v>30000</v>
      </c>
      <c r="G66" s="903">
        <f>+G46+G49+G52+G55+G58+G61+G64</f>
        <v>0</v>
      </c>
      <c r="I66" s="689">
        <f>+'1.mell._Össz_Mérleg2020'!C159</f>
        <v>67258</v>
      </c>
      <c r="J66" s="689">
        <f>+E66-I66</f>
        <v>0</v>
      </c>
    </row>
    <row r="67" spans="1:10" ht="12.75" thickBot="1">
      <c r="A67" s="519"/>
      <c r="B67" s="837"/>
      <c r="C67" s="519"/>
      <c r="D67" s="519"/>
      <c r="E67" s="519"/>
      <c r="F67" s="519"/>
      <c r="G67" s="905"/>
    </row>
    <row r="68" spans="1:10">
      <c r="A68" s="823" t="s">
        <v>609</v>
      </c>
      <c r="B68" s="524"/>
      <c r="C68" s="829"/>
      <c r="D68" s="509"/>
      <c r="E68" s="524"/>
      <c r="F68" s="508"/>
      <c r="G68" s="899"/>
    </row>
    <row r="69" spans="1:10" ht="12.75" thickBot="1">
      <c r="A69" s="824" t="s">
        <v>19</v>
      </c>
      <c r="B69" s="329"/>
      <c r="C69" s="830"/>
      <c r="D69" s="355"/>
      <c r="E69" s="329"/>
      <c r="F69" s="507"/>
      <c r="G69" s="900">
        <f>+B69-D69-E69</f>
        <v>0</v>
      </c>
    </row>
    <row r="70" spans="1:10" ht="12.75" thickBot="1">
      <c r="A70" s="825" t="s">
        <v>610</v>
      </c>
      <c r="B70" s="364">
        <f>+B69</f>
        <v>0</v>
      </c>
      <c r="C70" s="1401" t="s">
        <v>19</v>
      </c>
      <c r="D70" s="366">
        <f>+D69</f>
        <v>0</v>
      </c>
      <c r="E70" s="364">
        <f>+E69</f>
        <v>0</v>
      </c>
      <c r="F70" s="512">
        <f>+F69</f>
        <v>0</v>
      </c>
      <c r="G70" s="346">
        <f>+G69</f>
        <v>0</v>
      </c>
    </row>
    <row r="71" spans="1:10">
      <c r="A71" s="823" t="s">
        <v>877</v>
      </c>
      <c r="B71" s="524"/>
      <c r="C71" s="829"/>
      <c r="D71" s="509"/>
      <c r="E71" s="524"/>
      <c r="F71" s="508"/>
      <c r="G71" s="899"/>
    </row>
    <row r="72" spans="1:10" ht="12.75" thickBot="1">
      <c r="A72" s="824" t="s">
        <v>19</v>
      </c>
      <c r="B72" s="329"/>
      <c r="C72" s="830"/>
      <c r="D72" s="355"/>
      <c r="E72" s="329"/>
      <c r="F72" s="507"/>
      <c r="G72" s="900">
        <f>+B72-D72-E72</f>
        <v>0</v>
      </c>
    </row>
    <row r="73" spans="1:10" ht="12.75" thickBot="1">
      <c r="A73" s="825" t="s">
        <v>878</v>
      </c>
      <c r="B73" s="364">
        <f>+B72</f>
        <v>0</v>
      </c>
      <c r="C73" s="1401" t="s">
        <v>19</v>
      </c>
      <c r="D73" s="366">
        <f>+D72</f>
        <v>0</v>
      </c>
      <c r="E73" s="364">
        <f>+E72</f>
        <v>0</v>
      </c>
      <c r="F73" s="512">
        <f>+F72</f>
        <v>0</v>
      </c>
      <c r="G73" s="346">
        <f>+G72</f>
        <v>0</v>
      </c>
    </row>
    <row r="74" spans="1:10">
      <c r="A74" s="823" t="s">
        <v>611</v>
      </c>
      <c r="B74" s="524"/>
      <c r="C74" s="829"/>
      <c r="D74" s="509"/>
      <c r="E74" s="524"/>
      <c r="F74" s="508"/>
      <c r="G74" s="899"/>
    </row>
    <row r="75" spans="1:10" ht="12.75" thickBot="1">
      <c r="A75" s="824" t="s">
        <v>19</v>
      </c>
      <c r="B75" s="329"/>
      <c r="C75" s="830"/>
      <c r="D75" s="355"/>
      <c r="E75" s="329"/>
      <c r="F75" s="507"/>
      <c r="G75" s="900">
        <f>+B75-D75-E75</f>
        <v>0</v>
      </c>
    </row>
    <row r="76" spans="1:10" ht="12.75" thickBot="1">
      <c r="A76" s="825" t="s">
        <v>612</v>
      </c>
      <c r="B76" s="364">
        <f>+B75</f>
        <v>0</v>
      </c>
      <c r="C76" s="1401" t="s">
        <v>19</v>
      </c>
      <c r="D76" s="366">
        <f>+D75</f>
        <v>0</v>
      </c>
      <c r="E76" s="364">
        <f>+E75</f>
        <v>0</v>
      </c>
      <c r="F76" s="512">
        <f>+F75</f>
        <v>0</v>
      </c>
      <c r="G76" s="346">
        <f>+G75</f>
        <v>0</v>
      </c>
    </row>
    <row r="77" spans="1:10">
      <c r="A77" s="823" t="s">
        <v>613</v>
      </c>
      <c r="B77" s="524"/>
      <c r="C77" s="829"/>
      <c r="D77" s="509"/>
      <c r="E77" s="524"/>
      <c r="F77" s="508"/>
      <c r="G77" s="899"/>
    </row>
    <row r="78" spans="1:10" ht="12.75" thickBot="1">
      <c r="A78" s="824" t="s">
        <v>19</v>
      </c>
      <c r="B78" s="329"/>
      <c r="C78" s="830"/>
      <c r="D78" s="355"/>
      <c r="E78" s="329"/>
      <c r="F78" s="507"/>
      <c r="G78" s="900">
        <f>+B78-D78-E78</f>
        <v>0</v>
      </c>
    </row>
    <row r="79" spans="1:10" ht="12.75" thickBot="1">
      <c r="A79" s="825" t="s">
        <v>614</v>
      </c>
      <c r="B79" s="364">
        <f>+B78</f>
        <v>0</v>
      </c>
      <c r="C79" s="1401" t="s">
        <v>19</v>
      </c>
      <c r="D79" s="366">
        <f>+D78</f>
        <v>0</v>
      </c>
      <c r="E79" s="364">
        <f>+E78</f>
        <v>0</v>
      </c>
      <c r="F79" s="512">
        <f>+F78</f>
        <v>0</v>
      </c>
      <c r="G79" s="346">
        <f>+G78</f>
        <v>0</v>
      </c>
    </row>
    <row r="80" spans="1:10">
      <c r="A80" s="823" t="s">
        <v>865</v>
      </c>
      <c r="B80" s="524"/>
      <c r="C80" s="829"/>
      <c r="D80" s="509"/>
      <c r="E80" s="524"/>
      <c r="F80" s="508"/>
      <c r="G80" s="899"/>
    </row>
    <row r="81" spans="1:10" ht="12.75" thickBot="1">
      <c r="A81" s="824" t="s">
        <v>19</v>
      </c>
      <c r="B81" s="329"/>
      <c r="C81" s="830"/>
      <c r="D81" s="355"/>
      <c r="E81" s="329"/>
      <c r="F81" s="507"/>
      <c r="G81" s="900">
        <f>+B81-D81-E81</f>
        <v>0</v>
      </c>
    </row>
    <row r="82" spans="1:10" ht="12.75" thickBot="1">
      <c r="A82" s="825" t="s">
        <v>866</v>
      </c>
      <c r="B82" s="364">
        <f>+B81</f>
        <v>0</v>
      </c>
      <c r="C82" s="1401" t="s">
        <v>19</v>
      </c>
      <c r="D82" s="366">
        <f>+D81</f>
        <v>0</v>
      </c>
      <c r="E82" s="364">
        <f>+E81</f>
        <v>0</v>
      </c>
      <c r="F82" s="512">
        <f>+F81</f>
        <v>0</v>
      </c>
      <c r="G82" s="346">
        <f>+G81</f>
        <v>0</v>
      </c>
    </row>
    <row r="83" spans="1:10">
      <c r="A83" s="823" t="s">
        <v>1278</v>
      </c>
      <c r="B83" s="524"/>
      <c r="C83" s="829"/>
      <c r="D83" s="509"/>
      <c r="E83" s="524"/>
      <c r="F83" s="508"/>
      <c r="G83" s="899"/>
    </row>
    <row r="84" spans="1:10" ht="12.75" thickBot="1">
      <c r="A84" s="824" t="s">
        <v>19</v>
      </c>
      <c r="B84" s="329"/>
      <c r="C84" s="830"/>
      <c r="D84" s="355"/>
      <c r="E84" s="329"/>
      <c r="F84" s="507"/>
      <c r="G84" s="900">
        <f>+B84-D84-E84</f>
        <v>0</v>
      </c>
    </row>
    <row r="85" spans="1:10" ht="12.75" thickBot="1">
      <c r="A85" s="825" t="s">
        <v>1279</v>
      </c>
      <c r="B85" s="364">
        <f>+B84</f>
        <v>0</v>
      </c>
      <c r="C85" s="1401" t="s">
        <v>19</v>
      </c>
      <c r="D85" s="366">
        <f>+D84</f>
        <v>0</v>
      </c>
      <c r="E85" s="364">
        <f>+E84</f>
        <v>0</v>
      </c>
      <c r="F85" s="512">
        <f>+F84</f>
        <v>0</v>
      </c>
      <c r="G85" s="346">
        <f>+G84</f>
        <v>0</v>
      </c>
    </row>
    <row r="86" spans="1:10">
      <c r="A86" s="826" t="s">
        <v>954</v>
      </c>
      <c r="B86" s="525"/>
      <c r="C86" s="831"/>
      <c r="D86" s="513"/>
      <c r="E86" s="525"/>
      <c r="F86" s="514"/>
      <c r="G86" s="901"/>
    </row>
    <row r="87" spans="1:10" ht="12.75" thickBot="1">
      <c r="A87" s="824" t="s">
        <v>19</v>
      </c>
      <c r="B87" s="329"/>
      <c r="C87" s="830"/>
      <c r="D87" s="355"/>
      <c r="E87" s="329"/>
      <c r="F87" s="507"/>
      <c r="G87" s="900">
        <f>+B87-D87-E87</f>
        <v>0</v>
      </c>
    </row>
    <row r="88" spans="1:10" ht="12.75" thickBot="1">
      <c r="A88" s="825" t="s">
        <v>955</v>
      </c>
      <c r="B88" s="364">
        <f>+B87</f>
        <v>0</v>
      </c>
      <c r="C88" s="1401" t="s">
        <v>19</v>
      </c>
      <c r="D88" s="366">
        <f>+D87</f>
        <v>0</v>
      </c>
      <c r="E88" s="364">
        <f>+E87</f>
        <v>0</v>
      </c>
      <c r="F88" s="512">
        <f>+F87</f>
        <v>0</v>
      </c>
      <c r="G88" s="346">
        <f>+G87</f>
        <v>0</v>
      </c>
      <c r="I88" s="689">
        <f>+'1.mell._Össz_Mérleg2020'!C170</f>
        <v>0</v>
      </c>
      <c r="J88" s="689">
        <f>+E88-I88</f>
        <v>0</v>
      </c>
    </row>
    <row r="89" spans="1:10" ht="12.75" thickBot="1">
      <c r="A89" s="827"/>
      <c r="B89" s="526"/>
      <c r="C89" s="832"/>
      <c r="D89" s="515"/>
      <c r="E89" s="526"/>
      <c r="F89" s="516"/>
      <c r="G89" s="902"/>
    </row>
    <row r="90" spans="1:10" ht="12.75" thickBot="1">
      <c r="A90" s="828" t="s">
        <v>619</v>
      </c>
      <c r="B90" s="527">
        <f>+B70+B73+B76+B79+B82+B85+B88</f>
        <v>0</v>
      </c>
      <c r="C90" s="1401" t="s">
        <v>19</v>
      </c>
      <c r="D90" s="517">
        <f t="shared" ref="D90:G90" si="13">+D70+D73+D76+D79+D82+D85+D88</f>
        <v>0</v>
      </c>
      <c r="E90" s="527">
        <f t="shared" si="13"/>
        <v>0</v>
      </c>
      <c r="F90" s="518">
        <f t="shared" si="13"/>
        <v>0</v>
      </c>
      <c r="G90" s="903">
        <f t="shared" si="13"/>
        <v>0</v>
      </c>
      <c r="I90" s="689">
        <f>+'1.mell._Össz_Mérleg2020'!C165</f>
        <v>0</v>
      </c>
      <c r="J90" s="689">
        <f>+E90-I90</f>
        <v>0</v>
      </c>
    </row>
  </sheetData>
  <mergeCells count="3">
    <mergeCell ref="A4:G4"/>
    <mergeCell ref="F5:G5"/>
    <mergeCell ref="A3:G3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6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 codeName="Munka25">
    <tabColor rgb="FF00B0F0"/>
    <pageSetUpPr fitToPage="1"/>
  </sheetPr>
  <dimension ref="A1:H34"/>
  <sheetViews>
    <sheetView zoomScaleNormal="100" workbookViewId="0"/>
  </sheetViews>
  <sheetFormatPr defaultColWidth="9.140625" defaultRowHeight="12"/>
  <cols>
    <col min="1" max="1" width="4.85546875" style="1434" bestFit="1" customWidth="1"/>
    <col min="2" max="2" width="57.5703125" style="506" bestFit="1" customWidth="1"/>
    <col min="3" max="3" width="30.85546875" style="506" bestFit="1" customWidth="1"/>
    <col min="4" max="4" width="13.140625" style="506" bestFit="1" customWidth="1"/>
    <col min="5" max="5" width="9.140625" style="506"/>
    <col min="6" max="7" width="0" style="506" hidden="1" customWidth="1"/>
    <col min="8" max="16384" width="9.140625" style="506"/>
  </cols>
  <sheetData>
    <row r="1" spans="1:8" s="676" customFormat="1" ht="15.75">
      <c r="A1" s="1403"/>
      <c r="B1" s="675"/>
      <c r="C1" s="675"/>
      <c r="D1" s="218" t="s">
        <v>780</v>
      </c>
    </row>
    <row r="2" spans="1:8" s="676" customFormat="1" ht="15.75">
      <c r="A2" s="1403"/>
      <c r="B2" s="675"/>
      <c r="C2" s="675"/>
      <c r="D2" s="218"/>
    </row>
    <row r="3" spans="1:8" s="676" customFormat="1" ht="15.75" customHeight="1">
      <c r="A3" s="1274" t="s">
        <v>353</v>
      </c>
      <c r="B3" s="1274"/>
      <c r="C3" s="1274"/>
      <c r="D3" s="1274"/>
      <c r="E3" s="520"/>
      <c r="F3" s="520"/>
      <c r="G3" s="520"/>
    </row>
    <row r="4" spans="1:8" s="1000" customFormat="1" ht="15.75">
      <c r="A4" s="1404" t="s">
        <v>1508</v>
      </c>
      <c r="B4" s="1404"/>
      <c r="C4" s="1404"/>
      <c r="D4" s="1404"/>
    </row>
    <row r="5" spans="1:8" ht="12.75" thickBot="1">
      <c r="A5" s="1405"/>
      <c r="B5" s="1405"/>
      <c r="C5" s="1405"/>
      <c r="D5" s="399" t="s">
        <v>457</v>
      </c>
    </row>
    <row r="6" spans="1:8" ht="24.75" thickBot="1">
      <c r="A6" s="502" t="s">
        <v>8</v>
      </c>
      <c r="B6" s="1406" t="s">
        <v>621</v>
      </c>
      <c r="C6" s="1407" t="s">
        <v>622</v>
      </c>
      <c r="D6" s="227" t="s">
        <v>1442</v>
      </c>
    </row>
    <row r="7" spans="1:8" s="1412" customFormat="1">
      <c r="A7" s="1408"/>
      <c r="B7" s="1409" t="s">
        <v>0</v>
      </c>
      <c r="C7" s="1410"/>
      <c r="D7" s="1411"/>
    </row>
    <row r="8" spans="1:8">
      <c r="A8" s="1126" t="s">
        <v>4</v>
      </c>
      <c r="B8" s="533" t="s">
        <v>623</v>
      </c>
      <c r="C8" s="1413" t="s">
        <v>624</v>
      </c>
      <c r="D8" s="242">
        <f>1000-500</f>
        <v>500</v>
      </c>
    </row>
    <row r="9" spans="1:8" ht="12.75" thickBot="1">
      <c r="A9" s="1414" t="s">
        <v>5</v>
      </c>
      <c r="B9" s="1415" t="s">
        <v>1064</v>
      </c>
      <c r="C9" s="1413" t="s">
        <v>624</v>
      </c>
      <c r="D9" s="255">
        <f>12*736</f>
        <v>8832</v>
      </c>
    </row>
    <row r="10" spans="1:8" s="908" customFormat="1" ht="12.75" thickBot="1">
      <c r="A10" s="1416" t="s">
        <v>23</v>
      </c>
      <c r="B10" s="1417" t="s">
        <v>628</v>
      </c>
      <c r="C10" s="1418"/>
      <c r="D10" s="247">
        <f>SUM(D8:D9)</f>
        <v>9332</v>
      </c>
      <c r="F10" s="689">
        <f>+'1.mell._Össz_Mérleg2020'!C138</f>
        <v>9332</v>
      </c>
      <c r="G10" s="689">
        <f>+D10-F10</f>
        <v>0</v>
      </c>
      <c r="H10" s="506"/>
    </row>
    <row r="11" spans="1:8" s="908" customFormat="1">
      <c r="A11" s="1419"/>
      <c r="B11" s="1420"/>
      <c r="C11" s="1421"/>
      <c r="D11" s="233"/>
      <c r="F11" s="506"/>
      <c r="G11" s="506"/>
      <c r="H11" s="506"/>
    </row>
    <row r="12" spans="1:8">
      <c r="A12" s="1422"/>
      <c r="B12" s="1423" t="s">
        <v>1</v>
      </c>
      <c r="C12" s="1424"/>
      <c r="D12" s="534"/>
    </row>
    <row r="13" spans="1:8">
      <c r="A13" s="1126" t="s">
        <v>4</v>
      </c>
      <c r="B13" s="533" t="s">
        <v>625</v>
      </c>
      <c r="C13" s="1413" t="s">
        <v>624</v>
      </c>
      <c r="D13" s="242">
        <f>5000*1.1-3000</f>
        <v>2500</v>
      </c>
    </row>
    <row r="14" spans="1:8">
      <c r="A14" s="1126" t="s">
        <v>5</v>
      </c>
      <c r="B14" s="533" t="s">
        <v>626</v>
      </c>
      <c r="C14" s="1413" t="s">
        <v>624</v>
      </c>
      <c r="D14" s="242">
        <f>10650*1.1+1285</f>
        <v>13000.000000000002</v>
      </c>
    </row>
    <row r="15" spans="1:8">
      <c r="A15" s="1126" t="s">
        <v>6</v>
      </c>
      <c r="B15" s="533" t="s">
        <v>1164</v>
      </c>
      <c r="C15" s="1413" t="s">
        <v>624</v>
      </c>
      <c r="D15" s="242">
        <f>350-150+150</f>
        <v>350</v>
      </c>
    </row>
    <row r="16" spans="1:8">
      <c r="A16" s="1126" t="s">
        <v>3</v>
      </c>
      <c r="B16" s="533" t="s">
        <v>1578</v>
      </c>
      <c r="C16" s="1413" t="s">
        <v>624</v>
      </c>
      <c r="D16" s="242">
        <f>0+1000</f>
        <v>1000</v>
      </c>
    </row>
    <row r="17" spans="1:8">
      <c r="A17" s="1126" t="s">
        <v>16</v>
      </c>
      <c r="B17" s="533" t="s">
        <v>980</v>
      </c>
      <c r="C17" s="1413" t="s">
        <v>624</v>
      </c>
      <c r="D17" s="242">
        <f>15000+10000</f>
        <v>25000</v>
      </c>
    </row>
    <row r="18" spans="1:8">
      <c r="A18" s="1126" t="s">
        <v>15</v>
      </c>
      <c r="B18" s="533" t="s">
        <v>1065</v>
      </c>
      <c r="C18" s="1413" t="s">
        <v>624</v>
      </c>
      <c r="D18" s="242">
        <f>11000-3000</f>
        <v>8000</v>
      </c>
    </row>
    <row r="19" spans="1:8">
      <c r="A19" s="1126" t="s">
        <v>14</v>
      </c>
      <c r="B19" s="533" t="s">
        <v>1169</v>
      </c>
      <c r="C19" s="1413" t="s">
        <v>624</v>
      </c>
      <c r="D19" s="242">
        <v>400</v>
      </c>
    </row>
    <row r="20" spans="1:8">
      <c r="A20" s="1126" t="s">
        <v>13</v>
      </c>
      <c r="B20" s="533" t="s">
        <v>1167</v>
      </c>
      <c r="C20" s="1413" t="s">
        <v>1168</v>
      </c>
      <c r="D20" s="242">
        <v>200</v>
      </c>
    </row>
    <row r="21" spans="1:8">
      <c r="A21" s="1126" t="s">
        <v>12</v>
      </c>
      <c r="B21" s="533" t="s">
        <v>1218</v>
      </c>
      <c r="C21" s="1413" t="s">
        <v>624</v>
      </c>
      <c r="D21" s="242">
        <v>100</v>
      </c>
    </row>
    <row r="22" spans="1:8">
      <c r="A22" s="1126" t="s">
        <v>11</v>
      </c>
      <c r="B22" s="533" t="s">
        <v>1345</v>
      </c>
      <c r="C22" s="1413" t="s">
        <v>624</v>
      </c>
      <c r="D22" s="242">
        <v>500</v>
      </c>
    </row>
    <row r="23" spans="1:8" ht="12.75" thickBot="1">
      <c r="A23" s="1126" t="s">
        <v>10</v>
      </c>
      <c r="B23" s="533" t="s">
        <v>1364</v>
      </c>
      <c r="C23" s="1413" t="s">
        <v>624</v>
      </c>
      <c r="D23" s="242">
        <f>0+300</f>
        <v>300</v>
      </c>
    </row>
    <row r="24" spans="1:8" ht="12.75" thickBot="1">
      <c r="A24" s="495" t="s">
        <v>22</v>
      </c>
      <c r="B24" s="1417" t="s">
        <v>627</v>
      </c>
      <c r="C24" s="1418"/>
      <c r="D24" s="247">
        <f>SUM(D13:D23)</f>
        <v>51350</v>
      </c>
      <c r="F24" s="689">
        <f>+'1.mell._Össz_Mérleg2020'!C145</f>
        <v>51350</v>
      </c>
      <c r="G24" s="689">
        <f>+D24-F24</f>
        <v>0</v>
      </c>
    </row>
    <row r="25" spans="1:8" s="908" customFormat="1">
      <c r="A25" s="1419"/>
      <c r="B25" s="1420"/>
      <c r="C25" s="1421"/>
      <c r="D25" s="233"/>
      <c r="F25" s="506"/>
      <c r="G25" s="506"/>
      <c r="H25" s="506"/>
    </row>
    <row r="26" spans="1:8">
      <c r="A26" s="1408"/>
      <c r="B26" s="1409" t="s">
        <v>2</v>
      </c>
      <c r="C26" s="1425"/>
      <c r="D26" s="1426"/>
    </row>
    <row r="27" spans="1:8" ht="12.75" thickBot="1">
      <c r="A27" s="1427" t="s">
        <v>4</v>
      </c>
      <c r="B27" s="965" t="s">
        <v>19</v>
      </c>
      <c r="C27" s="1413"/>
      <c r="D27" s="242"/>
    </row>
    <row r="28" spans="1:8" ht="12.75" thickBot="1">
      <c r="A28" s="1416" t="s">
        <v>21</v>
      </c>
      <c r="B28" s="1417" t="s">
        <v>629</v>
      </c>
      <c r="C28" s="1418"/>
      <c r="D28" s="247">
        <f>SUM(D27)</f>
        <v>0</v>
      </c>
      <c r="F28" s="689">
        <f>+'1.mell._Össz_Mérleg2020'!C169</f>
        <v>0</v>
      </c>
      <c r="G28" s="689">
        <f>+D28-F28</f>
        <v>0</v>
      </c>
    </row>
    <row r="29" spans="1:8">
      <c r="A29" s="1428"/>
      <c r="B29" s="1420"/>
      <c r="C29" s="1421"/>
      <c r="D29" s="233"/>
    </row>
    <row r="30" spans="1:8">
      <c r="A30" s="1422"/>
      <c r="B30" s="1423" t="s">
        <v>630</v>
      </c>
      <c r="C30" s="1424"/>
      <c r="D30" s="534"/>
    </row>
    <row r="31" spans="1:8" ht="12.75" thickBot="1">
      <c r="A31" s="1429" t="s">
        <v>4</v>
      </c>
      <c r="B31" s="1430" t="s">
        <v>19</v>
      </c>
      <c r="C31" s="1431"/>
      <c r="D31" s="1432"/>
    </row>
    <row r="32" spans="1:8" ht="12.75" thickBot="1">
      <c r="A32" s="495" t="s">
        <v>20</v>
      </c>
      <c r="B32" s="1417" t="s">
        <v>631</v>
      </c>
      <c r="C32" s="1418"/>
      <c r="D32" s="247">
        <f>SUM(D31)</f>
        <v>0</v>
      </c>
      <c r="F32" s="689">
        <f>+'1.mell._Össz_Mérleg2020'!C175</f>
        <v>0</v>
      </c>
      <c r="G32" s="689">
        <f>+D32-F32</f>
        <v>0</v>
      </c>
    </row>
    <row r="34" spans="1:1">
      <c r="A34" s="1433" t="s">
        <v>1170</v>
      </c>
    </row>
  </sheetData>
  <mergeCells count="2">
    <mergeCell ref="A4:D4"/>
    <mergeCell ref="A3:D3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91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 codeName="Munka26">
    <tabColor rgb="FF00B0F0"/>
  </sheetPr>
  <dimension ref="A1:Y325"/>
  <sheetViews>
    <sheetView zoomScaleNormal="100" workbookViewId="0"/>
  </sheetViews>
  <sheetFormatPr defaultColWidth="10.5703125" defaultRowHeight="12"/>
  <cols>
    <col min="1" max="1" width="5.42578125" style="617" bestFit="1" customWidth="1"/>
    <col min="2" max="2" width="3.7109375" style="943" hidden="1" customWidth="1"/>
    <col min="3" max="3" width="7.85546875" style="1040" customWidth="1"/>
    <col min="4" max="4" width="78.42578125" style="548" customWidth="1"/>
    <col min="5" max="5" width="10.5703125" style="1035" hidden="1" customWidth="1"/>
    <col min="6" max="6" width="65.28515625" style="343" customWidth="1"/>
    <col min="7" max="7" width="10.85546875" style="549" customWidth="1"/>
    <col min="8" max="8" width="10.85546875" style="550" customWidth="1"/>
    <col min="9" max="9" width="10.85546875" style="343" customWidth="1"/>
    <col min="10" max="10" width="11.42578125" style="343" customWidth="1"/>
    <col min="11" max="11" width="10.85546875" style="343" customWidth="1"/>
    <col min="12" max="12" width="11.28515625" style="343" customWidth="1"/>
    <col min="13" max="13" width="10.85546875" style="549" customWidth="1"/>
    <col min="14" max="15" width="10.85546875" style="343" customWidth="1"/>
    <col min="16" max="16" width="11.28515625" style="343" customWidth="1"/>
    <col min="17" max="18" width="10.85546875" style="343" customWidth="1"/>
    <col min="19" max="16384" width="10.5703125" style="343"/>
  </cols>
  <sheetData>
    <row r="1" spans="1:18" s="341" customFormat="1" ht="15.75">
      <c r="A1" s="616"/>
      <c r="B1" s="942"/>
      <c r="C1" s="1039"/>
      <c r="D1" s="609"/>
      <c r="E1" s="1034"/>
      <c r="G1" s="536"/>
      <c r="H1" s="610"/>
      <c r="M1" s="536"/>
      <c r="Q1" s="218" t="s">
        <v>742</v>
      </c>
      <c r="R1" s="218"/>
    </row>
    <row r="2" spans="1:18" s="341" customFormat="1" ht="15.75">
      <c r="A2" s="616"/>
      <c r="B2" s="942"/>
      <c r="C2" s="1039"/>
      <c r="D2" s="609"/>
      <c r="E2" s="1034"/>
      <c r="G2" s="536"/>
      <c r="H2" s="610"/>
      <c r="L2" s="537"/>
      <c r="M2" s="536"/>
      <c r="P2" s="537"/>
      <c r="Q2" s="537"/>
      <c r="R2" s="537"/>
    </row>
    <row r="3" spans="1:18" s="341" customFormat="1" ht="15.75">
      <c r="A3" s="1159" t="s">
        <v>768</v>
      </c>
      <c r="B3" s="1159"/>
      <c r="C3" s="1159"/>
      <c r="D3" s="1159"/>
      <c r="E3" s="1159"/>
      <c r="F3" s="1159"/>
      <c r="G3" s="1159"/>
      <c r="H3" s="1159"/>
      <c r="I3" s="1159"/>
      <c r="J3" s="1159"/>
      <c r="K3" s="1159"/>
      <c r="L3" s="1159"/>
      <c r="M3" s="1159"/>
      <c r="N3" s="1159"/>
      <c r="O3" s="1159"/>
      <c r="P3" s="1159"/>
      <c r="Q3" s="1159"/>
      <c r="R3" s="918"/>
    </row>
    <row r="4" spans="1:18" ht="12.75" thickBot="1">
      <c r="L4" s="273"/>
      <c r="P4" s="273" t="s">
        <v>457</v>
      </c>
      <c r="Q4" s="551"/>
      <c r="R4" s="551"/>
    </row>
    <row r="5" spans="1:18" s="553" customFormat="1" ht="12.75" thickBot="1">
      <c r="A5" s="1160" t="s">
        <v>17</v>
      </c>
      <c r="B5" s="1276" t="s">
        <v>1041</v>
      </c>
      <c r="C5" s="1280" t="s">
        <v>761</v>
      </c>
      <c r="D5" s="1282" t="s">
        <v>760</v>
      </c>
      <c r="E5" s="1278" t="s">
        <v>744</v>
      </c>
      <c r="F5" s="1284" t="s">
        <v>743</v>
      </c>
      <c r="G5" s="1181" t="s">
        <v>1442</v>
      </c>
      <c r="H5" s="1181" t="s">
        <v>1509</v>
      </c>
      <c r="I5" s="1185" t="s">
        <v>745</v>
      </c>
      <c r="J5" s="1186"/>
      <c r="K5" s="1186"/>
      <c r="L5" s="1188"/>
      <c r="M5" s="1181" t="s">
        <v>1510</v>
      </c>
      <c r="N5" s="1187" t="s">
        <v>745</v>
      </c>
      <c r="O5" s="1186"/>
      <c r="P5" s="1188"/>
      <c r="Q5" s="552"/>
      <c r="R5" s="552"/>
    </row>
    <row r="6" spans="1:18" s="553" customFormat="1" ht="60.75" thickBot="1">
      <c r="A6" s="1162"/>
      <c r="B6" s="1277"/>
      <c r="C6" s="1281"/>
      <c r="D6" s="1283"/>
      <c r="E6" s="1279"/>
      <c r="F6" s="1285"/>
      <c r="G6" s="1182"/>
      <c r="H6" s="1182"/>
      <c r="I6" s="340" t="s">
        <v>762</v>
      </c>
      <c r="J6" s="403" t="s">
        <v>524</v>
      </c>
      <c r="K6" s="403" t="s">
        <v>763</v>
      </c>
      <c r="L6" s="402" t="s">
        <v>764</v>
      </c>
      <c r="M6" s="1182"/>
      <c r="N6" s="340" t="s">
        <v>531</v>
      </c>
      <c r="O6" s="403" t="s">
        <v>532</v>
      </c>
      <c r="P6" s="402" t="s">
        <v>533</v>
      </c>
      <c r="Q6" s="554"/>
      <c r="R6" s="554"/>
    </row>
    <row r="7" spans="1:18" s="553" customFormat="1">
      <c r="A7" s="618">
        <v>1</v>
      </c>
      <c r="B7" s="944">
        <v>1</v>
      </c>
      <c r="C7" s="1337" t="s">
        <v>667</v>
      </c>
      <c r="D7" s="1058" t="s">
        <v>666</v>
      </c>
      <c r="E7" s="1338">
        <v>999000</v>
      </c>
      <c r="F7" s="1059" t="s">
        <v>414</v>
      </c>
      <c r="G7" s="540">
        <f t="shared" ref="G7:G79" si="0">+H7+M7</f>
        <v>0</v>
      </c>
      <c r="H7" s="541">
        <f t="shared" ref="H7:H79" si="1">+I7+J7+K7+L7</f>
        <v>0</v>
      </c>
      <c r="I7" s="1357"/>
      <c r="J7" s="1358"/>
      <c r="K7" s="1358"/>
      <c r="L7" s="1359"/>
      <c r="M7" s="541">
        <f>+N7+O7+P7</f>
        <v>0</v>
      </c>
      <c r="N7" s="1357"/>
      <c r="O7" s="1358"/>
      <c r="P7" s="1359"/>
      <c r="Q7" s="551"/>
      <c r="R7" s="551"/>
    </row>
    <row r="8" spans="1:18" s="553" customFormat="1">
      <c r="A8" s="618">
        <f>+A7+1</f>
        <v>2</v>
      </c>
      <c r="B8" s="945">
        <v>8</v>
      </c>
      <c r="C8" s="1339" t="s">
        <v>667</v>
      </c>
      <c r="D8" s="1062" t="s">
        <v>666</v>
      </c>
      <c r="E8" s="1340" t="s">
        <v>1225</v>
      </c>
      <c r="F8" s="1063" t="s">
        <v>995</v>
      </c>
      <c r="G8" s="540">
        <f t="shared" si="0"/>
        <v>60647</v>
      </c>
      <c r="H8" s="541">
        <f t="shared" si="1"/>
        <v>60647</v>
      </c>
      <c r="I8" s="1357">
        <v>44166</v>
      </c>
      <c r="J8" s="1358"/>
      <c r="K8" s="1358">
        <v>16481</v>
      </c>
      <c r="L8" s="1359"/>
      <c r="M8" s="541">
        <f t="shared" ref="M8:M79" si="2">+N8+O8+P8</f>
        <v>0</v>
      </c>
      <c r="N8" s="1357"/>
      <c r="O8" s="1358"/>
      <c r="P8" s="1359"/>
      <c r="Q8" s="551"/>
      <c r="R8" s="551"/>
    </row>
    <row r="9" spans="1:18" s="553" customFormat="1">
      <c r="A9" s="618">
        <f t="shared" ref="A9:A86" si="3">+A8+1</f>
        <v>3</v>
      </c>
      <c r="B9" s="945">
        <v>7</v>
      </c>
      <c r="C9" s="1339" t="s">
        <v>667</v>
      </c>
      <c r="D9" s="1062" t="s">
        <v>1519</v>
      </c>
      <c r="E9" s="1340" t="s">
        <v>1225</v>
      </c>
      <c r="F9" s="1063" t="s">
        <v>1520</v>
      </c>
      <c r="G9" s="540">
        <f t="shared" si="0"/>
        <v>0</v>
      </c>
      <c r="H9" s="541">
        <f t="shared" si="1"/>
        <v>0</v>
      </c>
      <c r="I9" s="1357"/>
      <c r="J9" s="1358"/>
      <c r="K9" s="1358"/>
      <c r="L9" s="1359"/>
      <c r="M9" s="541">
        <f t="shared" si="2"/>
        <v>0</v>
      </c>
      <c r="N9" s="1357"/>
      <c r="O9" s="1358"/>
      <c r="P9" s="1359"/>
      <c r="Q9" s="551"/>
      <c r="R9" s="551"/>
    </row>
    <row r="10" spans="1:18" s="557" customFormat="1">
      <c r="A10" s="618">
        <f t="shared" si="3"/>
        <v>4</v>
      </c>
      <c r="B10" s="945">
        <v>8</v>
      </c>
      <c r="C10" s="1339" t="s">
        <v>675</v>
      </c>
      <c r="D10" s="1062" t="s">
        <v>858</v>
      </c>
      <c r="E10" s="1340" t="s">
        <v>1225</v>
      </c>
      <c r="F10" s="1063" t="s">
        <v>674</v>
      </c>
      <c r="G10" s="555">
        <f t="shared" si="0"/>
        <v>0</v>
      </c>
      <c r="H10" s="556">
        <f t="shared" si="1"/>
        <v>0</v>
      </c>
      <c r="I10" s="1357"/>
      <c r="J10" s="1358"/>
      <c r="K10" s="1358"/>
      <c r="L10" s="1359"/>
      <c r="M10" s="556">
        <f t="shared" si="2"/>
        <v>0</v>
      </c>
      <c r="N10" s="1357"/>
      <c r="O10" s="1358"/>
      <c r="P10" s="1359"/>
      <c r="Q10" s="551"/>
      <c r="R10" s="551"/>
    </row>
    <row r="11" spans="1:18" s="553" customFormat="1">
      <c r="A11" s="618">
        <f t="shared" si="3"/>
        <v>5</v>
      </c>
      <c r="B11" s="945">
        <v>8</v>
      </c>
      <c r="C11" s="1339" t="s">
        <v>669</v>
      </c>
      <c r="D11" s="1062" t="s">
        <v>668</v>
      </c>
      <c r="E11" s="1341" t="s">
        <v>1225</v>
      </c>
      <c r="F11" s="1063" t="s">
        <v>634</v>
      </c>
      <c r="G11" s="558">
        <f>+H11+M11</f>
        <v>396552</v>
      </c>
      <c r="H11" s="559">
        <f>+I11+J11+K11+L11</f>
        <v>396552</v>
      </c>
      <c r="I11" s="1357"/>
      <c r="J11" s="1358">
        <v>396552</v>
      </c>
      <c r="K11" s="1358"/>
      <c r="L11" s="1359"/>
      <c r="M11" s="559">
        <f>+N11+O11+P11</f>
        <v>0</v>
      </c>
      <c r="N11" s="1357"/>
      <c r="O11" s="1358"/>
      <c r="P11" s="1359"/>
      <c r="Q11" s="551"/>
      <c r="R11" s="551"/>
    </row>
    <row r="12" spans="1:18" ht="12.75" customHeight="1">
      <c r="A12" s="618">
        <f t="shared" si="3"/>
        <v>6</v>
      </c>
      <c r="B12" s="945">
        <v>2</v>
      </c>
      <c r="C12" s="1339" t="s">
        <v>720</v>
      </c>
      <c r="D12" s="611" t="s">
        <v>719</v>
      </c>
      <c r="E12" s="1340" t="s">
        <v>1226</v>
      </c>
      <c r="F12" s="1064" t="s">
        <v>719</v>
      </c>
      <c r="G12" s="540">
        <f t="shared" si="0"/>
        <v>1500</v>
      </c>
      <c r="H12" s="541">
        <f t="shared" si="1"/>
        <v>1500</v>
      </c>
      <c r="I12" s="1357"/>
      <c r="J12" s="1358"/>
      <c r="K12" s="1358">
        <v>1500</v>
      </c>
      <c r="L12" s="1359"/>
      <c r="M12" s="541">
        <f t="shared" si="2"/>
        <v>0</v>
      </c>
      <c r="N12" s="1357"/>
      <c r="O12" s="1358"/>
      <c r="P12" s="1359"/>
      <c r="Q12" s="551"/>
      <c r="R12" s="551"/>
    </row>
    <row r="13" spans="1:18" ht="12.75" customHeight="1">
      <c r="A13" s="618">
        <f t="shared" si="3"/>
        <v>7</v>
      </c>
      <c r="B13" s="945">
        <v>8</v>
      </c>
      <c r="C13" s="1339" t="s">
        <v>704</v>
      </c>
      <c r="D13" s="1062" t="s">
        <v>1056</v>
      </c>
      <c r="E13" s="1341" t="s">
        <v>1227</v>
      </c>
      <c r="F13" s="1065" t="s">
        <v>1058</v>
      </c>
      <c r="G13" s="558">
        <f t="shared" si="0"/>
        <v>350</v>
      </c>
      <c r="H13" s="559">
        <f t="shared" si="1"/>
        <v>0</v>
      </c>
      <c r="I13" s="1357"/>
      <c r="J13" s="1358"/>
      <c r="K13" s="1358"/>
      <c r="L13" s="1359"/>
      <c r="M13" s="559">
        <f t="shared" si="2"/>
        <v>350</v>
      </c>
      <c r="N13" s="1357"/>
      <c r="O13" s="1358">
        <v>350</v>
      </c>
      <c r="P13" s="1359"/>
      <c r="Q13" s="551"/>
      <c r="R13" s="551"/>
    </row>
    <row r="14" spans="1:18" s="564" customFormat="1" ht="12.75" customHeight="1">
      <c r="A14" s="618">
        <f t="shared" si="3"/>
        <v>8</v>
      </c>
      <c r="B14" s="945">
        <v>8</v>
      </c>
      <c r="C14" s="1339" t="s">
        <v>704</v>
      </c>
      <c r="D14" s="1066" t="s">
        <v>1056</v>
      </c>
      <c r="E14" s="1341" t="s">
        <v>1228</v>
      </c>
      <c r="F14" s="1067" t="s">
        <v>650</v>
      </c>
      <c r="G14" s="558">
        <f t="shared" si="0"/>
        <v>20887</v>
      </c>
      <c r="H14" s="559">
        <f t="shared" si="1"/>
        <v>20887</v>
      </c>
      <c r="I14" s="1357"/>
      <c r="J14" s="1358"/>
      <c r="K14" s="1358">
        <v>20887</v>
      </c>
      <c r="L14" s="1359"/>
      <c r="M14" s="559">
        <f t="shared" si="2"/>
        <v>0</v>
      </c>
      <c r="N14" s="1357"/>
      <c r="O14" s="1358"/>
      <c r="P14" s="1359"/>
      <c r="Q14" s="551"/>
      <c r="R14" s="551"/>
    </row>
    <row r="15" spans="1:18">
      <c r="A15" s="618">
        <f t="shared" si="3"/>
        <v>9</v>
      </c>
      <c r="B15" s="945">
        <v>8</v>
      </c>
      <c r="C15" s="1339" t="s">
        <v>701</v>
      </c>
      <c r="D15" s="1062" t="s">
        <v>700</v>
      </c>
      <c r="E15" s="1341" t="s">
        <v>1229</v>
      </c>
      <c r="F15" s="1065" t="s">
        <v>776</v>
      </c>
      <c r="G15" s="558">
        <f t="shared" si="0"/>
        <v>0</v>
      </c>
      <c r="H15" s="559">
        <f t="shared" si="1"/>
        <v>0</v>
      </c>
      <c r="I15" s="1357"/>
      <c r="J15" s="1358"/>
      <c r="K15" s="1358"/>
      <c r="L15" s="1359"/>
      <c r="M15" s="559">
        <f t="shared" si="2"/>
        <v>0</v>
      </c>
      <c r="N15" s="1357"/>
      <c r="O15" s="1358"/>
      <c r="P15" s="1359"/>
      <c r="Q15" s="551"/>
      <c r="R15" s="551"/>
    </row>
    <row r="16" spans="1:18">
      <c r="A16" s="618">
        <f t="shared" si="3"/>
        <v>10</v>
      </c>
      <c r="B16" s="945">
        <v>8</v>
      </c>
      <c r="C16" s="1339" t="s">
        <v>999</v>
      </c>
      <c r="D16" s="1062" t="s">
        <v>1000</v>
      </c>
      <c r="E16" s="1341" t="s">
        <v>1225</v>
      </c>
      <c r="F16" s="1065" t="s">
        <v>1001</v>
      </c>
      <c r="G16" s="558">
        <f t="shared" si="0"/>
        <v>0</v>
      </c>
      <c r="H16" s="559">
        <f t="shared" si="1"/>
        <v>0</v>
      </c>
      <c r="I16" s="1357"/>
      <c r="J16" s="1358"/>
      <c r="K16" s="1358"/>
      <c r="L16" s="1359"/>
      <c r="M16" s="559">
        <f t="shared" si="2"/>
        <v>0</v>
      </c>
      <c r="N16" s="1357"/>
      <c r="O16" s="1358"/>
      <c r="P16" s="1359"/>
      <c r="Q16" s="551"/>
      <c r="R16" s="551"/>
    </row>
    <row r="17" spans="1:18">
      <c r="A17" s="618">
        <f t="shared" si="3"/>
        <v>11</v>
      </c>
      <c r="B17" s="945">
        <v>8</v>
      </c>
      <c r="C17" s="1339" t="s">
        <v>725</v>
      </c>
      <c r="D17" s="1062" t="s">
        <v>723</v>
      </c>
      <c r="E17" s="1341" t="s">
        <v>1225</v>
      </c>
      <c r="F17" s="1065" t="s">
        <v>721</v>
      </c>
      <c r="G17" s="558">
        <f t="shared" si="0"/>
        <v>917056</v>
      </c>
      <c r="H17" s="559">
        <f t="shared" si="1"/>
        <v>917056</v>
      </c>
      <c r="I17" s="1357">
        <v>917056</v>
      </c>
      <c r="J17" s="1358"/>
      <c r="K17" s="1358"/>
      <c r="L17" s="1359"/>
      <c r="M17" s="559">
        <f t="shared" si="2"/>
        <v>0</v>
      </c>
      <c r="N17" s="1357"/>
      <c r="O17" s="1358"/>
      <c r="P17" s="1359"/>
      <c r="Q17" s="551"/>
      <c r="R17" s="551"/>
    </row>
    <row r="18" spans="1:18">
      <c r="A18" s="618">
        <f t="shared" si="3"/>
        <v>12</v>
      </c>
      <c r="B18" s="945">
        <v>8</v>
      </c>
      <c r="C18" s="1339" t="s">
        <v>722</v>
      </c>
      <c r="D18" s="1062" t="s">
        <v>724</v>
      </c>
      <c r="E18" s="1341" t="s">
        <v>1225</v>
      </c>
      <c r="F18" s="1065" t="s">
        <v>651</v>
      </c>
      <c r="G18" s="558">
        <f t="shared" si="0"/>
        <v>0</v>
      </c>
      <c r="H18" s="559">
        <f t="shared" si="1"/>
        <v>0</v>
      </c>
      <c r="I18" s="1357"/>
      <c r="J18" s="1358"/>
      <c r="K18" s="1358"/>
      <c r="L18" s="1359"/>
      <c r="M18" s="559">
        <f t="shared" si="2"/>
        <v>0</v>
      </c>
      <c r="N18" s="1357"/>
      <c r="O18" s="1358"/>
      <c r="P18" s="1359"/>
      <c r="Q18" s="551"/>
      <c r="R18" s="551"/>
    </row>
    <row r="19" spans="1:18">
      <c r="A19" s="618">
        <f t="shared" si="3"/>
        <v>13</v>
      </c>
      <c r="B19" s="945">
        <v>8</v>
      </c>
      <c r="C19" s="1339" t="s">
        <v>1002</v>
      </c>
      <c r="D19" s="1062" t="s">
        <v>1003</v>
      </c>
      <c r="E19" s="1341" t="s">
        <v>1225</v>
      </c>
      <c r="F19" s="1065" t="s">
        <v>995</v>
      </c>
      <c r="G19" s="558">
        <f t="shared" si="0"/>
        <v>8014</v>
      </c>
      <c r="H19" s="559">
        <f t="shared" si="1"/>
        <v>8014</v>
      </c>
      <c r="I19" s="1357">
        <v>8014</v>
      </c>
      <c r="J19" s="1358"/>
      <c r="K19" s="1358"/>
      <c r="L19" s="1359"/>
      <c r="M19" s="559">
        <f t="shared" si="2"/>
        <v>0</v>
      </c>
      <c r="N19" s="1357"/>
      <c r="O19" s="1358"/>
      <c r="P19" s="1359"/>
      <c r="Q19" s="551"/>
      <c r="R19" s="551"/>
    </row>
    <row r="20" spans="1:18">
      <c r="A20" s="618">
        <f t="shared" si="3"/>
        <v>14</v>
      </c>
      <c r="B20" s="945">
        <v>8</v>
      </c>
      <c r="C20" s="1339" t="s">
        <v>727</v>
      </c>
      <c r="D20" s="1062" t="s">
        <v>726</v>
      </c>
      <c r="E20" s="1341" t="s">
        <v>1225</v>
      </c>
      <c r="F20" s="1065" t="s">
        <v>652</v>
      </c>
      <c r="G20" s="558">
        <f t="shared" si="0"/>
        <v>0</v>
      </c>
      <c r="H20" s="559">
        <f t="shared" si="1"/>
        <v>0</v>
      </c>
      <c r="I20" s="1357"/>
      <c r="J20" s="1358"/>
      <c r="K20" s="1358"/>
      <c r="L20" s="1359"/>
      <c r="M20" s="559">
        <f t="shared" si="2"/>
        <v>0</v>
      </c>
      <c r="N20" s="1357"/>
      <c r="O20" s="1358"/>
      <c r="P20" s="1359"/>
      <c r="Q20" s="551"/>
      <c r="R20" s="551"/>
    </row>
    <row r="21" spans="1:18">
      <c r="A21" s="618">
        <f t="shared" si="3"/>
        <v>15</v>
      </c>
      <c r="B21" s="945">
        <v>8</v>
      </c>
      <c r="C21" s="1339" t="s">
        <v>709</v>
      </c>
      <c r="D21" s="1062" t="s">
        <v>661</v>
      </c>
      <c r="E21" s="1341" t="s">
        <v>1225</v>
      </c>
      <c r="F21" s="1065" t="s">
        <v>708</v>
      </c>
      <c r="G21" s="558">
        <f t="shared" si="0"/>
        <v>0</v>
      </c>
      <c r="H21" s="559">
        <f t="shared" si="1"/>
        <v>0</v>
      </c>
      <c r="I21" s="1357"/>
      <c r="J21" s="1358"/>
      <c r="K21" s="1358"/>
      <c r="L21" s="1359"/>
      <c r="M21" s="559">
        <f t="shared" si="2"/>
        <v>0</v>
      </c>
      <c r="N21" s="1357"/>
      <c r="O21" s="1358"/>
      <c r="P21" s="1359"/>
      <c r="Q21" s="551"/>
      <c r="R21" s="551"/>
    </row>
    <row r="22" spans="1:18">
      <c r="A22" s="618">
        <f t="shared" si="3"/>
        <v>16</v>
      </c>
      <c r="B22" s="945">
        <v>8</v>
      </c>
      <c r="C22" s="1339" t="s">
        <v>710</v>
      </c>
      <c r="D22" s="1062" t="s">
        <v>662</v>
      </c>
      <c r="E22" s="1341" t="s">
        <v>1225</v>
      </c>
      <c r="F22" s="1065" t="s">
        <v>708</v>
      </c>
      <c r="G22" s="558">
        <f t="shared" si="0"/>
        <v>0</v>
      </c>
      <c r="H22" s="559">
        <f t="shared" si="1"/>
        <v>0</v>
      </c>
      <c r="I22" s="1357"/>
      <c r="J22" s="1358"/>
      <c r="K22" s="1358"/>
      <c r="L22" s="1359"/>
      <c r="M22" s="559">
        <f t="shared" si="2"/>
        <v>0</v>
      </c>
      <c r="N22" s="1357"/>
      <c r="O22" s="1358"/>
      <c r="P22" s="1359"/>
      <c r="Q22" s="551"/>
      <c r="R22" s="551"/>
    </row>
    <row r="23" spans="1:18">
      <c r="A23" s="618">
        <f t="shared" si="3"/>
        <v>17</v>
      </c>
      <c r="B23" s="945">
        <v>8</v>
      </c>
      <c r="C23" s="1339" t="s">
        <v>712</v>
      </c>
      <c r="D23" s="1062" t="s">
        <v>713</v>
      </c>
      <c r="E23" s="1341" t="s">
        <v>1225</v>
      </c>
      <c r="F23" s="1065" t="s">
        <v>711</v>
      </c>
      <c r="G23" s="558">
        <f t="shared" si="0"/>
        <v>11612</v>
      </c>
      <c r="H23" s="559">
        <f t="shared" si="1"/>
        <v>11612</v>
      </c>
      <c r="I23" s="1357">
        <v>11612</v>
      </c>
      <c r="J23" s="1358"/>
      <c r="K23" s="1358"/>
      <c r="L23" s="1359"/>
      <c r="M23" s="559">
        <f t="shared" si="2"/>
        <v>0</v>
      </c>
      <c r="N23" s="1357"/>
      <c r="O23" s="1358"/>
      <c r="P23" s="1359"/>
      <c r="Q23" s="551"/>
      <c r="R23" s="551"/>
    </row>
    <row r="24" spans="1:18">
      <c r="A24" s="618">
        <f t="shared" si="3"/>
        <v>18</v>
      </c>
      <c r="B24" s="945">
        <v>8</v>
      </c>
      <c r="C24" s="1339" t="s">
        <v>716</v>
      </c>
      <c r="D24" s="1062" t="s">
        <v>717</v>
      </c>
      <c r="E24" s="1341" t="s">
        <v>1225</v>
      </c>
      <c r="F24" s="1065" t="s">
        <v>714</v>
      </c>
      <c r="G24" s="558">
        <f t="shared" si="0"/>
        <v>0</v>
      </c>
      <c r="H24" s="559">
        <f t="shared" si="1"/>
        <v>0</v>
      </c>
      <c r="I24" s="1357"/>
      <c r="J24" s="1358"/>
      <c r="K24" s="1358"/>
      <c r="L24" s="1359"/>
      <c r="M24" s="559">
        <f t="shared" si="2"/>
        <v>0</v>
      </c>
      <c r="N24" s="1357"/>
      <c r="O24" s="1358"/>
      <c r="P24" s="1359"/>
      <c r="Q24" s="551"/>
      <c r="R24" s="551"/>
    </row>
    <row r="25" spans="1:18">
      <c r="A25" s="618">
        <f t="shared" si="3"/>
        <v>19</v>
      </c>
      <c r="B25" s="945">
        <v>8</v>
      </c>
      <c r="C25" s="1342" t="s">
        <v>715</v>
      </c>
      <c r="D25" s="1062" t="s">
        <v>663</v>
      </c>
      <c r="E25" s="1341" t="s">
        <v>1225</v>
      </c>
      <c r="F25" s="1065" t="s">
        <v>714</v>
      </c>
      <c r="G25" s="558">
        <f t="shared" si="0"/>
        <v>11238</v>
      </c>
      <c r="H25" s="559">
        <f t="shared" si="1"/>
        <v>11238</v>
      </c>
      <c r="I25" s="1357">
        <v>3238</v>
      </c>
      <c r="J25" s="1358"/>
      <c r="K25" s="1358">
        <v>8000</v>
      </c>
      <c r="L25" s="1359"/>
      <c r="M25" s="559">
        <f t="shared" si="2"/>
        <v>0</v>
      </c>
      <c r="N25" s="1357"/>
      <c r="O25" s="1358"/>
      <c r="P25" s="1359"/>
      <c r="Q25" s="551"/>
      <c r="R25" s="551"/>
    </row>
    <row r="26" spans="1:18">
      <c r="A26" s="618">
        <f t="shared" si="3"/>
        <v>20</v>
      </c>
      <c r="B26" s="946">
        <v>8</v>
      </c>
      <c r="C26" s="1343" t="s">
        <v>706</v>
      </c>
      <c r="D26" s="1068" t="s">
        <v>705</v>
      </c>
      <c r="E26" s="1344" t="s">
        <v>1230</v>
      </c>
      <c r="F26" s="1069" t="s">
        <v>1004</v>
      </c>
      <c r="G26" s="562">
        <f t="shared" si="0"/>
        <v>0</v>
      </c>
      <c r="H26" s="563">
        <f t="shared" si="1"/>
        <v>0</v>
      </c>
      <c r="I26" s="1357"/>
      <c r="J26" s="1358"/>
      <c r="K26" s="1358"/>
      <c r="L26" s="1359"/>
      <c r="M26" s="563">
        <f t="shared" si="2"/>
        <v>0</v>
      </c>
      <c r="N26" s="1357"/>
      <c r="O26" s="1358"/>
      <c r="P26" s="1359"/>
      <c r="Q26" s="551"/>
      <c r="R26" s="551"/>
    </row>
    <row r="27" spans="1:18">
      <c r="A27" s="618">
        <f t="shared" si="3"/>
        <v>21</v>
      </c>
      <c r="B27" s="947">
        <v>5</v>
      </c>
      <c r="C27" s="1343" t="s">
        <v>694</v>
      </c>
      <c r="D27" s="1068" t="s">
        <v>642</v>
      </c>
      <c r="E27" s="1344" t="s">
        <v>1225</v>
      </c>
      <c r="F27" s="1069" t="s">
        <v>642</v>
      </c>
      <c r="G27" s="562">
        <f t="shared" si="0"/>
        <v>0</v>
      </c>
      <c r="H27" s="563">
        <f t="shared" si="1"/>
        <v>0</v>
      </c>
      <c r="I27" s="1357"/>
      <c r="J27" s="1358"/>
      <c r="K27" s="1358"/>
      <c r="L27" s="1359"/>
      <c r="M27" s="563">
        <f t="shared" si="2"/>
        <v>0</v>
      </c>
      <c r="N27" s="1357"/>
      <c r="O27" s="1358"/>
      <c r="P27" s="1359"/>
      <c r="Q27" s="551"/>
      <c r="R27" s="551"/>
    </row>
    <row r="28" spans="1:18" s="564" customFormat="1">
      <c r="A28" s="618">
        <f t="shared" si="3"/>
        <v>22</v>
      </c>
      <c r="B28" s="947">
        <v>8</v>
      </c>
      <c r="C28" s="1342" t="s">
        <v>696</v>
      </c>
      <c r="D28" s="1062" t="s">
        <v>695</v>
      </c>
      <c r="E28" s="1341" t="s">
        <v>1247</v>
      </c>
      <c r="F28" s="1065" t="s">
        <v>695</v>
      </c>
      <c r="G28" s="558">
        <f t="shared" si="0"/>
        <v>0</v>
      </c>
      <c r="H28" s="559">
        <f t="shared" si="1"/>
        <v>0</v>
      </c>
      <c r="I28" s="1357"/>
      <c r="J28" s="1358"/>
      <c r="K28" s="1358"/>
      <c r="L28" s="1359"/>
      <c r="M28" s="559">
        <f t="shared" si="2"/>
        <v>0</v>
      </c>
      <c r="N28" s="1357"/>
      <c r="O28" s="1358"/>
      <c r="P28" s="1359"/>
      <c r="Q28" s="551"/>
      <c r="R28" s="551"/>
    </row>
    <row r="29" spans="1:18" s="564" customFormat="1">
      <c r="A29" s="618">
        <f t="shared" si="3"/>
        <v>23</v>
      </c>
      <c r="B29" s="946">
        <v>5</v>
      </c>
      <c r="C29" s="1342" t="s">
        <v>697</v>
      </c>
      <c r="D29" s="1062" t="s">
        <v>643</v>
      </c>
      <c r="E29" s="1341" t="s">
        <v>1225</v>
      </c>
      <c r="F29" s="1065" t="s">
        <v>643</v>
      </c>
      <c r="G29" s="558">
        <f t="shared" si="0"/>
        <v>0</v>
      </c>
      <c r="H29" s="559">
        <f t="shared" si="1"/>
        <v>0</v>
      </c>
      <c r="I29" s="1357"/>
      <c r="J29" s="1358"/>
      <c r="K29" s="1358"/>
      <c r="L29" s="1359"/>
      <c r="M29" s="559">
        <f t="shared" si="2"/>
        <v>0</v>
      </c>
      <c r="N29" s="1357"/>
      <c r="O29" s="1358"/>
      <c r="P29" s="1359"/>
      <c r="Q29" s="551"/>
      <c r="R29" s="551"/>
    </row>
    <row r="30" spans="1:18" s="564" customFormat="1">
      <c r="A30" s="618">
        <f t="shared" si="3"/>
        <v>24</v>
      </c>
      <c r="B30" s="946">
        <v>8</v>
      </c>
      <c r="C30" s="1342" t="s">
        <v>718</v>
      </c>
      <c r="D30" s="1062" t="s">
        <v>648</v>
      </c>
      <c r="E30" s="1341" t="s">
        <v>1225</v>
      </c>
      <c r="F30" s="1065" t="s">
        <v>648</v>
      </c>
      <c r="G30" s="558">
        <f t="shared" si="0"/>
        <v>0</v>
      </c>
      <c r="H30" s="559">
        <f t="shared" si="1"/>
        <v>0</v>
      </c>
      <c r="I30" s="1357"/>
      <c r="J30" s="1358"/>
      <c r="K30" s="1358"/>
      <c r="L30" s="1359"/>
      <c r="M30" s="559">
        <f t="shared" si="2"/>
        <v>0</v>
      </c>
      <c r="N30" s="1357"/>
      <c r="O30" s="1358"/>
      <c r="P30" s="1359"/>
      <c r="Q30" s="551"/>
      <c r="R30" s="551"/>
    </row>
    <row r="31" spans="1:18" s="564" customFormat="1">
      <c r="A31" s="618">
        <f t="shared" si="3"/>
        <v>25</v>
      </c>
      <c r="B31" s="946">
        <v>8</v>
      </c>
      <c r="C31" s="1342" t="s">
        <v>692</v>
      </c>
      <c r="D31" s="1062" t="s">
        <v>693</v>
      </c>
      <c r="E31" s="1341" t="s">
        <v>1225</v>
      </c>
      <c r="F31" s="1065" t="s">
        <v>1007</v>
      </c>
      <c r="G31" s="558">
        <f t="shared" si="0"/>
        <v>0</v>
      </c>
      <c r="H31" s="559">
        <f t="shared" si="1"/>
        <v>0</v>
      </c>
      <c r="I31" s="1357"/>
      <c r="J31" s="1358"/>
      <c r="K31" s="1358"/>
      <c r="L31" s="1359"/>
      <c r="M31" s="559">
        <f t="shared" si="2"/>
        <v>0</v>
      </c>
      <c r="N31" s="1357"/>
      <c r="O31" s="1358"/>
      <c r="P31" s="1359"/>
      <c r="Q31" s="551"/>
      <c r="R31" s="551"/>
    </row>
    <row r="32" spans="1:18" s="564" customFormat="1">
      <c r="A32" s="618">
        <f t="shared" si="3"/>
        <v>26</v>
      </c>
      <c r="B32" s="946">
        <v>8</v>
      </c>
      <c r="C32" s="1342" t="s">
        <v>690</v>
      </c>
      <c r="D32" s="1062" t="s">
        <v>691</v>
      </c>
      <c r="E32" s="1341" t="s">
        <v>1225</v>
      </c>
      <c r="F32" s="1065" t="s">
        <v>641</v>
      </c>
      <c r="G32" s="558">
        <f t="shared" si="0"/>
        <v>11527</v>
      </c>
      <c r="H32" s="559">
        <f t="shared" si="1"/>
        <v>11527</v>
      </c>
      <c r="I32" s="1357"/>
      <c r="J32" s="1358"/>
      <c r="K32" s="1358">
        <v>11527</v>
      </c>
      <c r="L32" s="1359"/>
      <c r="M32" s="559">
        <f t="shared" si="2"/>
        <v>0</v>
      </c>
      <c r="N32" s="1357"/>
      <c r="O32" s="1358"/>
      <c r="P32" s="1359"/>
      <c r="Q32" s="551"/>
      <c r="R32" s="551"/>
    </row>
    <row r="33" spans="1:18" s="564" customFormat="1">
      <c r="A33" s="618">
        <f t="shared" si="3"/>
        <v>27</v>
      </c>
      <c r="B33" s="946">
        <v>3</v>
      </c>
      <c r="C33" s="1342" t="s">
        <v>698</v>
      </c>
      <c r="D33" s="1062" t="s">
        <v>644</v>
      </c>
      <c r="E33" s="1341" t="s">
        <v>1225</v>
      </c>
      <c r="F33" s="1065" t="s">
        <v>644</v>
      </c>
      <c r="G33" s="558">
        <f t="shared" si="0"/>
        <v>0</v>
      </c>
      <c r="H33" s="559">
        <f t="shared" si="1"/>
        <v>0</v>
      </c>
      <c r="I33" s="1357"/>
      <c r="J33" s="1358"/>
      <c r="K33" s="1358"/>
      <c r="L33" s="1359"/>
      <c r="M33" s="559">
        <f t="shared" si="2"/>
        <v>0</v>
      </c>
      <c r="N33" s="1357"/>
      <c r="O33" s="1358"/>
      <c r="P33" s="1359"/>
      <c r="Q33" s="551"/>
      <c r="R33" s="551"/>
    </row>
    <row r="34" spans="1:18" s="564" customFormat="1">
      <c r="A34" s="618">
        <f t="shared" si="3"/>
        <v>28</v>
      </c>
      <c r="B34" s="946">
        <v>4</v>
      </c>
      <c r="C34" s="1342" t="s">
        <v>707</v>
      </c>
      <c r="D34" s="1062" t="s">
        <v>646</v>
      </c>
      <c r="E34" s="1341" t="s">
        <v>1232</v>
      </c>
      <c r="F34" s="1065" t="s">
        <v>646</v>
      </c>
      <c r="G34" s="558">
        <f>+H34+M34</f>
        <v>0</v>
      </c>
      <c r="H34" s="559">
        <f t="shared" si="1"/>
        <v>0</v>
      </c>
      <c r="I34" s="1357"/>
      <c r="J34" s="1358"/>
      <c r="K34" s="1358"/>
      <c r="L34" s="1359"/>
      <c r="M34" s="559">
        <f t="shared" si="2"/>
        <v>0</v>
      </c>
      <c r="N34" s="1357"/>
      <c r="O34" s="1358"/>
      <c r="P34" s="1359"/>
      <c r="Q34" s="551"/>
      <c r="R34" s="551"/>
    </row>
    <row r="35" spans="1:18" s="564" customFormat="1">
      <c r="A35" s="618">
        <f t="shared" si="3"/>
        <v>29</v>
      </c>
      <c r="B35" s="946">
        <v>8</v>
      </c>
      <c r="C35" s="1339" t="s">
        <v>699</v>
      </c>
      <c r="D35" s="1066" t="s">
        <v>645</v>
      </c>
      <c r="E35" s="1341" t="s">
        <v>1225</v>
      </c>
      <c r="F35" s="1067" t="s">
        <v>645</v>
      </c>
      <c r="G35" s="558">
        <f t="shared" si="0"/>
        <v>109542</v>
      </c>
      <c r="H35" s="559">
        <f t="shared" si="1"/>
        <v>67243</v>
      </c>
      <c r="I35" s="1357">
        <v>4900</v>
      </c>
      <c r="J35" s="1358"/>
      <c r="K35" s="1358">
        <v>62343</v>
      </c>
      <c r="L35" s="1359"/>
      <c r="M35" s="559">
        <f t="shared" si="2"/>
        <v>42299</v>
      </c>
      <c r="N35" s="1357">
        <v>2299</v>
      </c>
      <c r="O35" s="1358">
        <v>40000</v>
      </c>
      <c r="P35" s="1359"/>
      <c r="Q35" s="551"/>
      <c r="R35" s="551"/>
    </row>
    <row r="36" spans="1:18" s="564" customFormat="1" ht="24">
      <c r="A36" s="618">
        <f t="shared" si="3"/>
        <v>30</v>
      </c>
      <c r="B36" s="945">
        <v>7</v>
      </c>
      <c r="C36" s="1339" t="s">
        <v>696</v>
      </c>
      <c r="D36" s="1066" t="s">
        <v>1258</v>
      </c>
      <c r="E36" s="1341" t="s">
        <v>1247</v>
      </c>
      <c r="F36" s="1067" t="s">
        <v>1249</v>
      </c>
      <c r="G36" s="558">
        <f>+H36+M36</f>
        <v>0</v>
      </c>
      <c r="H36" s="559">
        <f>+I36+J36+K36+L36</f>
        <v>0</v>
      </c>
      <c r="I36" s="1357"/>
      <c r="J36" s="1358"/>
      <c r="K36" s="1358"/>
      <c r="L36" s="1359"/>
      <c r="M36" s="559">
        <f>+N36+O36+P36</f>
        <v>0</v>
      </c>
      <c r="N36" s="1357"/>
      <c r="O36" s="1358"/>
      <c r="P36" s="1359"/>
      <c r="Q36" s="551"/>
      <c r="R36" s="551"/>
    </row>
    <row r="37" spans="1:18" s="564" customFormat="1" ht="24">
      <c r="A37" s="618">
        <f t="shared" si="3"/>
        <v>31</v>
      </c>
      <c r="B37" s="945">
        <v>7</v>
      </c>
      <c r="C37" s="1339" t="s">
        <v>696</v>
      </c>
      <c r="D37" s="1066" t="s">
        <v>1258</v>
      </c>
      <c r="E37" s="1341" t="s">
        <v>1247</v>
      </c>
      <c r="F37" s="1067" t="s">
        <v>1250</v>
      </c>
      <c r="G37" s="558">
        <f t="shared" si="0"/>
        <v>0</v>
      </c>
      <c r="H37" s="559">
        <f t="shared" si="1"/>
        <v>0</v>
      </c>
      <c r="I37" s="1357"/>
      <c r="J37" s="1358"/>
      <c r="K37" s="1358"/>
      <c r="L37" s="1359"/>
      <c r="M37" s="559">
        <f t="shared" si="2"/>
        <v>0</v>
      </c>
      <c r="N37" s="1357"/>
      <c r="O37" s="1358"/>
      <c r="P37" s="1359"/>
      <c r="Q37" s="551"/>
      <c r="R37" s="551"/>
    </row>
    <row r="38" spans="1:18" s="564" customFormat="1" ht="24">
      <c r="A38" s="618">
        <f t="shared" si="3"/>
        <v>32</v>
      </c>
      <c r="B38" s="945">
        <v>7</v>
      </c>
      <c r="C38" s="1339" t="s">
        <v>696</v>
      </c>
      <c r="D38" s="1066" t="s">
        <v>1258</v>
      </c>
      <c r="E38" s="1341" t="s">
        <v>1247</v>
      </c>
      <c r="F38" s="1067" t="s">
        <v>1251</v>
      </c>
      <c r="G38" s="558">
        <f t="shared" si="0"/>
        <v>0</v>
      </c>
      <c r="H38" s="559">
        <f t="shared" si="1"/>
        <v>0</v>
      </c>
      <c r="I38" s="1357"/>
      <c r="J38" s="1358"/>
      <c r="K38" s="1358"/>
      <c r="L38" s="1359"/>
      <c r="M38" s="559">
        <f t="shared" si="2"/>
        <v>0</v>
      </c>
      <c r="N38" s="1357"/>
      <c r="O38" s="1358"/>
      <c r="P38" s="1359"/>
      <c r="Q38" s="551"/>
      <c r="R38" s="551"/>
    </row>
    <row r="39" spans="1:18" s="564" customFormat="1" ht="24">
      <c r="A39" s="618">
        <f t="shared" si="3"/>
        <v>33</v>
      </c>
      <c r="B39" s="945">
        <v>7</v>
      </c>
      <c r="C39" s="1339" t="s">
        <v>1254</v>
      </c>
      <c r="D39" s="1066" t="s">
        <v>1252</v>
      </c>
      <c r="E39" s="1341" t="s">
        <v>1225</v>
      </c>
      <c r="F39" s="1067" t="s">
        <v>1253</v>
      </c>
      <c r="G39" s="558">
        <f t="shared" si="0"/>
        <v>0</v>
      </c>
      <c r="H39" s="559">
        <f t="shared" si="1"/>
        <v>0</v>
      </c>
      <c r="I39" s="1357"/>
      <c r="J39" s="1358"/>
      <c r="K39" s="1358"/>
      <c r="L39" s="1359"/>
      <c r="M39" s="559">
        <f t="shared" si="2"/>
        <v>0</v>
      </c>
      <c r="N39" s="1357"/>
      <c r="O39" s="1358"/>
      <c r="P39" s="1359"/>
      <c r="Q39" s="551"/>
      <c r="R39" s="551"/>
    </row>
    <row r="40" spans="1:18" s="564" customFormat="1" ht="24">
      <c r="A40" s="618">
        <f t="shared" si="3"/>
        <v>34</v>
      </c>
      <c r="B40" s="945">
        <v>7</v>
      </c>
      <c r="C40" s="1339" t="s">
        <v>1076</v>
      </c>
      <c r="D40" s="1066" t="s">
        <v>1257</v>
      </c>
      <c r="E40" s="1341" t="s">
        <v>1225</v>
      </c>
      <c r="F40" s="1067" t="s">
        <v>1256</v>
      </c>
      <c r="G40" s="558">
        <f>+H40+M40</f>
        <v>0</v>
      </c>
      <c r="H40" s="559">
        <f>+I40+J40+K40+L40</f>
        <v>0</v>
      </c>
      <c r="I40" s="1357"/>
      <c r="J40" s="1358"/>
      <c r="K40" s="1358"/>
      <c r="L40" s="1359"/>
      <c r="M40" s="559">
        <f>+N40+O40+P40</f>
        <v>0</v>
      </c>
      <c r="N40" s="1357"/>
      <c r="O40" s="1358"/>
      <c r="P40" s="1359"/>
      <c r="Q40" s="551"/>
      <c r="R40" s="551"/>
    </row>
    <row r="41" spans="1:18" s="564" customFormat="1" ht="24">
      <c r="A41" s="618">
        <f t="shared" si="3"/>
        <v>35</v>
      </c>
      <c r="B41" s="945">
        <v>7</v>
      </c>
      <c r="C41" s="1339" t="s">
        <v>1259</v>
      </c>
      <c r="D41" s="1066" t="s">
        <v>1260</v>
      </c>
      <c r="E41" s="1341" t="s">
        <v>1225</v>
      </c>
      <c r="F41" s="1067" t="s">
        <v>1261</v>
      </c>
      <c r="G41" s="558">
        <f>+H41+M41</f>
        <v>0</v>
      </c>
      <c r="H41" s="559">
        <f>+I41+J41+K41+L41</f>
        <v>0</v>
      </c>
      <c r="I41" s="1357"/>
      <c r="J41" s="1358"/>
      <c r="K41" s="1358"/>
      <c r="L41" s="1359"/>
      <c r="M41" s="559">
        <f>+N41+O41+P41</f>
        <v>0</v>
      </c>
      <c r="N41" s="1357"/>
      <c r="O41" s="1358"/>
      <c r="P41" s="1359"/>
      <c r="Q41" s="551"/>
      <c r="R41" s="551"/>
    </row>
    <row r="42" spans="1:18" s="564" customFormat="1" ht="24">
      <c r="A42" s="618">
        <f t="shared" si="3"/>
        <v>36</v>
      </c>
      <c r="B42" s="945">
        <v>7</v>
      </c>
      <c r="C42" s="1339" t="s">
        <v>704</v>
      </c>
      <c r="D42" s="1066" t="s">
        <v>1263</v>
      </c>
      <c r="E42" s="1341" t="s">
        <v>1228</v>
      </c>
      <c r="F42" s="1067" t="s">
        <v>1262</v>
      </c>
      <c r="G42" s="558">
        <f>+H42+M42</f>
        <v>0</v>
      </c>
      <c r="H42" s="559">
        <f>+I42+J42+K42+L42</f>
        <v>0</v>
      </c>
      <c r="I42" s="1357"/>
      <c r="J42" s="1358"/>
      <c r="K42" s="1358"/>
      <c r="L42" s="1359"/>
      <c r="M42" s="559">
        <f>+N42+O42+P42</f>
        <v>0</v>
      </c>
      <c r="N42" s="1357"/>
      <c r="O42" s="1358"/>
      <c r="P42" s="1359"/>
      <c r="Q42" s="551"/>
      <c r="R42" s="551"/>
    </row>
    <row r="43" spans="1:18" s="564" customFormat="1">
      <c r="A43" s="618">
        <f t="shared" si="3"/>
        <v>37</v>
      </c>
      <c r="B43" s="945">
        <v>7</v>
      </c>
      <c r="C43" s="1342" t="s">
        <v>1264</v>
      </c>
      <c r="D43" s="1062" t="s">
        <v>1266</v>
      </c>
      <c r="E43" s="1341" t="s">
        <v>1225</v>
      </c>
      <c r="F43" s="1065" t="s">
        <v>1265</v>
      </c>
      <c r="G43" s="558">
        <f t="shared" si="0"/>
        <v>0</v>
      </c>
      <c r="H43" s="559">
        <f t="shared" si="1"/>
        <v>0</v>
      </c>
      <c r="I43" s="1357"/>
      <c r="J43" s="1358"/>
      <c r="K43" s="1358"/>
      <c r="L43" s="1359"/>
      <c r="M43" s="559">
        <f t="shared" si="2"/>
        <v>0</v>
      </c>
      <c r="N43" s="1357"/>
      <c r="O43" s="1358"/>
      <c r="P43" s="1359"/>
      <c r="Q43" s="551"/>
      <c r="R43" s="551"/>
    </row>
    <row r="44" spans="1:18" s="564" customFormat="1">
      <c r="A44" s="618">
        <f t="shared" si="3"/>
        <v>38</v>
      </c>
      <c r="B44" s="945">
        <v>7</v>
      </c>
      <c r="C44" s="1342" t="s">
        <v>704</v>
      </c>
      <c r="D44" s="1062" t="s">
        <v>1268</v>
      </c>
      <c r="E44" s="1341" t="s">
        <v>1228</v>
      </c>
      <c r="F44" s="1065" t="s">
        <v>1267</v>
      </c>
      <c r="G44" s="558">
        <f t="shared" si="0"/>
        <v>0</v>
      </c>
      <c r="H44" s="559">
        <f t="shared" si="1"/>
        <v>0</v>
      </c>
      <c r="I44" s="1357"/>
      <c r="J44" s="1358"/>
      <c r="K44" s="1358"/>
      <c r="L44" s="1359"/>
      <c r="M44" s="559">
        <f t="shared" si="2"/>
        <v>0</v>
      </c>
      <c r="N44" s="1357"/>
      <c r="O44" s="1358"/>
      <c r="P44" s="1359"/>
      <c r="Q44" s="551"/>
      <c r="R44" s="551"/>
    </row>
    <row r="45" spans="1:18" s="564" customFormat="1">
      <c r="A45" s="618">
        <f t="shared" si="3"/>
        <v>39</v>
      </c>
      <c r="B45" s="945">
        <v>7</v>
      </c>
      <c r="C45" s="1342" t="s">
        <v>1023</v>
      </c>
      <c r="D45" s="1062" t="s">
        <v>1269</v>
      </c>
      <c r="E45" s="1341" t="s">
        <v>1245</v>
      </c>
      <c r="F45" s="1065" t="s">
        <v>1270</v>
      </c>
      <c r="G45" s="558">
        <f t="shared" si="0"/>
        <v>0</v>
      </c>
      <c r="H45" s="559">
        <f t="shared" si="1"/>
        <v>0</v>
      </c>
      <c r="I45" s="1357"/>
      <c r="J45" s="1358"/>
      <c r="K45" s="1358"/>
      <c r="L45" s="1359"/>
      <c r="M45" s="559">
        <f t="shared" si="2"/>
        <v>0</v>
      </c>
      <c r="N45" s="1357"/>
      <c r="O45" s="1358"/>
      <c r="P45" s="1359"/>
      <c r="Q45" s="551"/>
      <c r="R45" s="551"/>
    </row>
    <row r="46" spans="1:18">
      <c r="A46" s="618">
        <f t="shared" si="3"/>
        <v>40</v>
      </c>
      <c r="B46" s="945">
        <v>7</v>
      </c>
      <c r="C46" s="1342" t="s">
        <v>699</v>
      </c>
      <c r="D46" s="1062" t="s">
        <v>1172</v>
      </c>
      <c r="E46" s="1345" t="s">
        <v>1225</v>
      </c>
      <c r="F46" s="1065" t="s">
        <v>1173</v>
      </c>
      <c r="G46" s="558">
        <f t="shared" si="0"/>
        <v>0</v>
      </c>
      <c r="H46" s="559">
        <f t="shared" si="1"/>
        <v>0</v>
      </c>
      <c r="I46" s="1357"/>
      <c r="J46" s="1358"/>
      <c r="K46" s="1358"/>
      <c r="L46" s="1359"/>
      <c r="M46" s="559">
        <f t="shared" si="2"/>
        <v>0</v>
      </c>
      <c r="N46" s="1357"/>
      <c r="O46" s="1358"/>
      <c r="P46" s="1359"/>
      <c r="Q46" s="551"/>
      <c r="R46" s="551"/>
    </row>
    <row r="47" spans="1:18">
      <c r="A47" s="618">
        <f t="shared" si="3"/>
        <v>41</v>
      </c>
      <c r="B47" s="945">
        <v>8</v>
      </c>
      <c r="C47" s="1342" t="s">
        <v>1008</v>
      </c>
      <c r="D47" s="1062" t="s">
        <v>1009</v>
      </c>
      <c r="E47" s="1341" t="s">
        <v>1225</v>
      </c>
      <c r="F47" s="1065" t="s">
        <v>1010</v>
      </c>
      <c r="G47" s="558">
        <f t="shared" si="0"/>
        <v>0</v>
      </c>
      <c r="H47" s="559">
        <f t="shared" si="1"/>
        <v>0</v>
      </c>
      <c r="I47" s="1357"/>
      <c r="J47" s="1358"/>
      <c r="K47" s="1358"/>
      <c r="L47" s="1359"/>
      <c r="M47" s="559">
        <f t="shared" si="2"/>
        <v>0</v>
      </c>
      <c r="N47" s="1357"/>
      <c r="O47" s="1358"/>
      <c r="P47" s="1359"/>
      <c r="Q47" s="551"/>
      <c r="R47" s="551"/>
    </row>
    <row r="48" spans="1:18">
      <c r="A48" s="618">
        <f t="shared" si="3"/>
        <v>42</v>
      </c>
      <c r="B48" s="945">
        <v>8</v>
      </c>
      <c r="C48" s="1342" t="s">
        <v>1011</v>
      </c>
      <c r="D48" s="1062" t="s">
        <v>1012</v>
      </c>
      <c r="E48" s="1341" t="s">
        <v>1225</v>
      </c>
      <c r="F48" s="1065" t="s">
        <v>1012</v>
      </c>
      <c r="G48" s="558">
        <f>+H48+M48</f>
        <v>0</v>
      </c>
      <c r="H48" s="559">
        <f>+I48+J48+K48+L48</f>
        <v>0</v>
      </c>
      <c r="I48" s="1357"/>
      <c r="J48" s="1358"/>
      <c r="K48" s="1358"/>
      <c r="L48" s="1359"/>
      <c r="M48" s="559">
        <f>+N48+O48+P48</f>
        <v>0</v>
      </c>
      <c r="N48" s="1357"/>
      <c r="O48" s="1358"/>
      <c r="P48" s="1359"/>
      <c r="Q48" s="551"/>
      <c r="R48" s="551"/>
    </row>
    <row r="49" spans="1:18">
      <c r="A49" s="618">
        <f t="shared" si="3"/>
        <v>43</v>
      </c>
      <c r="B49" s="945">
        <v>8</v>
      </c>
      <c r="C49" s="1342" t="s">
        <v>702</v>
      </c>
      <c r="D49" s="1062" t="s">
        <v>703</v>
      </c>
      <c r="E49" s="1341" t="s">
        <v>1231</v>
      </c>
      <c r="F49" s="1065" t="s">
        <v>703</v>
      </c>
      <c r="G49" s="558">
        <f t="shared" si="0"/>
        <v>29977</v>
      </c>
      <c r="H49" s="559">
        <f t="shared" si="1"/>
        <v>0</v>
      </c>
      <c r="I49" s="1357"/>
      <c r="J49" s="1358"/>
      <c r="K49" s="1358"/>
      <c r="L49" s="1359"/>
      <c r="M49" s="559">
        <f t="shared" si="2"/>
        <v>29977</v>
      </c>
      <c r="N49" s="1357">
        <v>29977</v>
      </c>
      <c r="O49" s="1358"/>
      <c r="P49" s="1359"/>
      <c r="Q49" s="551"/>
      <c r="R49" s="551"/>
    </row>
    <row r="50" spans="1:18">
      <c r="A50" s="618">
        <f t="shared" si="3"/>
        <v>44</v>
      </c>
      <c r="B50" s="945">
        <v>8</v>
      </c>
      <c r="C50" s="1342" t="s">
        <v>1015</v>
      </c>
      <c r="D50" s="1062" t="s">
        <v>1013</v>
      </c>
      <c r="E50" s="1341" t="s">
        <v>1233</v>
      </c>
      <c r="F50" s="1065" t="s">
        <v>1013</v>
      </c>
      <c r="G50" s="558">
        <f t="shared" si="0"/>
        <v>0</v>
      </c>
      <c r="H50" s="559">
        <f t="shared" si="1"/>
        <v>0</v>
      </c>
      <c r="I50" s="1357"/>
      <c r="J50" s="1358"/>
      <c r="K50" s="1358"/>
      <c r="L50" s="1359"/>
      <c r="M50" s="559">
        <f t="shared" si="2"/>
        <v>0</v>
      </c>
      <c r="N50" s="1357"/>
      <c r="O50" s="1358"/>
      <c r="P50" s="1359"/>
      <c r="Q50" s="551"/>
      <c r="R50" s="551"/>
    </row>
    <row r="51" spans="1:18">
      <c r="A51" s="618">
        <f t="shared" si="3"/>
        <v>45</v>
      </c>
      <c r="B51" s="945">
        <v>8</v>
      </c>
      <c r="C51" s="1342" t="s">
        <v>1016</v>
      </c>
      <c r="D51" s="1062" t="s">
        <v>1014</v>
      </c>
      <c r="E51" s="1341" t="s">
        <v>1225</v>
      </c>
      <c r="F51" s="1065" t="s">
        <v>1017</v>
      </c>
      <c r="G51" s="558">
        <f t="shared" si="0"/>
        <v>0</v>
      </c>
      <c r="H51" s="559">
        <f t="shared" si="1"/>
        <v>0</v>
      </c>
      <c r="I51" s="1357"/>
      <c r="J51" s="1358"/>
      <c r="K51" s="1358"/>
      <c r="L51" s="1359"/>
      <c r="M51" s="559">
        <f t="shared" si="2"/>
        <v>0</v>
      </c>
      <c r="N51" s="1357"/>
      <c r="O51" s="1358"/>
      <c r="P51" s="1359"/>
      <c r="Q51" s="551"/>
      <c r="R51" s="551"/>
    </row>
    <row r="52" spans="1:18">
      <c r="A52" s="618">
        <f t="shared" si="3"/>
        <v>46</v>
      </c>
      <c r="B52" s="946">
        <v>8</v>
      </c>
      <c r="C52" s="1343" t="s">
        <v>1018</v>
      </c>
      <c r="D52" s="1068" t="s">
        <v>1019</v>
      </c>
      <c r="E52" s="1344" t="s">
        <v>1225</v>
      </c>
      <c r="F52" s="1069" t="s">
        <v>1019</v>
      </c>
      <c r="G52" s="562">
        <f t="shared" si="0"/>
        <v>0</v>
      </c>
      <c r="H52" s="563">
        <f t="shared" si="1"/>
        <v>0</v>
      </c>
      <c r="I52" s="1357"/>
      <c r="J52" s="1358"/>
      <c r="K52" s="1358"/>
      <c r="L52" s="1359"/>
      <c r="M52" s="563">
        <f t="shared" si="2"/>
        <v>0</v>
      </c>
      <c r="N52" s="1357"/>
      <c r="O52" s="1358"/>
      <c r="P52" s="1359"/>
      <c r="Q52" s="551"/>
      <c r="R52" s="551"/>
    </row>
    <row r="53" spans="1:18">
      <c r="A53" s="618">
        <f t="shared" si="3"/>
        <v>47</v>
      </c>
      <c r="B53" s="946">
        <v>8</v>
      </c>
      <c r="C53" s="1343" t="s">
        <v>730</v>
      </c>
      <c r="D53" s="1068" t="s">
        <v>728</v>
      </c>
      <c r="E53" s="1344" t="s">
        <v>1234</v>
      </c>
      <c r="F53" s="1069" t="s">
        <v>657</v>
      </c>
      <c r="G53" s="562">
        <f t="shared" si="0"/>
        <v>2500</v>
      </c>
      <c r="H53" s="563">
        <f t="shared" si="1"/>
        <v>2500</v>
      </c>
      <c r="I53" s="1357"/>
      <c r="J53" s="1358"/>
      <c r="K53" s="1358">
        <v>2500</v>
      </c>
      <c r="L53" s="1359"/>
      <c r="M53" s="563">
        <f t="shared" si="2"/>
        <v>0</v>
      </c>
      <c r="N53" s="1357"/>
      <c r="O53" s="1358"/>
      <c r="P53" s="1359"/>
      <c r="Q53" s="551"/>
      <c r="R53" s="551"/>
    </row>
    <row r="54" spans="1:18">
      <c r="A54" s="618">
        <f t="shared" si="3"/>
        <v>48</v>
      </c>
      <c r="B54" s="946">
        <v>8</v>
      </c>
      <c r="C54" s="1343" t="s">
        <v>731</v>
      </c>
      <c r="D54" s="1068" t="s">
        <v>729</v>
      </c>
      <c r="E54" s="1344" t="s">
        <v>1225</v>
      </c>
      <c r="F54" s="1069" t="s">
        <v>653</v>
      </c>
      <c r="G54" s="562">
        <f>+H54+M54</f>
        <v>0</v>
      </c>
      <c r="H54" s="563">
        <f>+I54+J54+K54+L54</f>
        <v>0</v>
      </c>
      <c r="I54" s="1357"/>
      <c r="J54" s="1358"/>
      <c r="K54" s="1358"/>
      <c r="L54" s="1359"/>
      <c r="M54" s="563">
        <f>+N54+O54+P54</f>
        <v>0</v>
      </c>
      <c r="N54" s="1357"/>
      <c r="O54" s="1358"/>
      <c r="P54" s="1359"/>
      <c r="Q54" s="551"/>
      <c r="R54" s="551"/>
    </row>
    <row r="55" spans="1:18">
      <c r="A55" s="618">
        <f t="shared" si="3"/>
        <v>49</v>
      </c>
      <c r="B55" s="946">
        <v>8</v>
      </c>
      <c r="C55" s="1343" t="s">
        <v>1020</v>
      </c>
      <c r="D55" s="1068" t="s">
        <v>1021</v>
      </c>
      <c r="E55" s="1344" t="s">
        <v>1225</v>
      </c>
      <c r="F55" s="1069" t="s">
        <v>1021</v>
      </c>
      <c r="G55" s="562">
        <f t="shared" si="0"/>
        <v>0</v>
      </c>
      <c r="H55" s="563">
        <f t="shared" si="1"/>
        <v>0</v>
      </c>
      <c r="I55" s="1357"/>
      <c r="J55" s="1358"/>
      <c r="K55" s="1358"/>
      <c r="L55" s="1359"/>
      <c r="M55" s="563">
        <f t="shared" si="2"/>
        <v>0</v>
      </c>
      <c r="N55" s="1357"/>
      <c r="O55" s="1358"/>
      <c r="P55" s="1359"/>
      <c r="Q55" s="551"/>
      <c r="R55" s="551"/>
    </row>
    <row r="56" spans="1:18">
      <c r="A56" s="618">
        <f t="shared" si="3"/>
        <v>50</v>
      </c>
      <c r="B56" s="946">
        <v>6</v>
      </c>
      <c r="C56" s="1343" t="s">
        <v>679</v>
      </c>
      <c r="D56" s="1068" t="s">
        <v>678</v>
      </c>
      <c r="E56" s="1344" t="s">
        <v>1225</v>
      </c>
      <c r="F56" s="1069" t="s">
        <v>1031</v>
      </c>
      <c r="G56" s="562">
        <f>+H56+M56</f>
        <v>0</v>
      </c>
      <c r="H56" s="563">
        <f>+I56+J56+K56+L56</f>
        <v>0</v>
      </c>
      <c r="I56" s="1357"/>
      <c r="J56" s="1358"/>
      <c r="K56" s="1358"/>
      <c r="L56" s="1359"/>
      <c r="M56" s="563">
        <f>+N56+O56+P56</f>
        <v>0</v>
      </c>
      <c r="N56" s="1357"/>
      <c r="O56" s="1358"/>
      <c r="P56" s="1359"/>
      <c r="Q56" s="551"/>
      <c r="R56" s="551"/>
    </row>
    <row r="57" spans="1:18">
      <c r="A57" s="618">
        <f t="shared" si="3"/>
        <v>51</v>
      </c>
      <c r="B57" s="946">
        <v>6</v>
      </c>
      <c r="C57" s="1343" t="s">
        <v>685</v>
      </c>
      <c r="D57" s="1068" t="s">
        <v>684</v>
      </c>
      <c r="E57" s="1344" t="s">
        <v>1225</v>
      </c>
      <c r="F57" s="1069" t="s">
        <v>1033</v>
      </c>
      <c r="G57" s="562">
        <f>+H57+M57</f>
        <v>0</v>
      </c>
      <c r="H57" s="563">
        <f>+I57+J57+K57+L57</f>
        <v>0</v>
      </c>
      <c r="I57" s="1357"/>
      <c r="J57" s="1358"/>
      <c r="K57" s="1358"/>
      <c r="L57" s="1359"/>
      <c r="M57" s="563">
        <f>+N57+O57+P57</f>
        <v>0</v>
      </c>
      <c r="N57" s="1357"/>
      <c r="O57" s="1358"/>
      <c r="P57" s="1359"/>
      <c r="Q57" s="551"/>
      <c r="R57" s="551"/>
    </row>
    <row r="58" spans="1:18">
      <c r="A58" s="618">
        <f t="shared" si="3"/>
        <v>52</v>
      </c>
      <c r="B58" s="946">
        <v>6</v>
      </c>
      <c r="C58" s="1343" t="s">
        <v>1030</v>
      </c>
      <c r="D58" s="1068" t="s">
        <v>1029</v>
      </c>
      <c r="E58" s="1344" t="s">
        <v>1235</v>
      </c>
      <c r="F58" s="1069" t="s">
        <v>1029</v>
      </c>
      <c r="G58" s="562">
        <f>+H58+M58</f>
        <v>0</v>
      </c>
      <c r="H58" s="563">
        <f>+I58+J58+K58+L58</f>
        <v>0</v>
      </c>
      <c r="I58" s="1357"/>
      <c r="J58" s="1358"/>
      <c r="K58" s="1358"/>
      <c r="L58" s="1359"/>
      <c r="M58" s="563">
        <f>+N58+O58+P58</f>
        <v>0</v>
      </c>
      <c r="N58" s="1357"/>
      <c r="O58" s="1358"/>
      <c r="P58" s="1359"/>
      <c r="Q58" s="551"/>
      <c r="R58" s="551"/>
    </row>
    <row r="59" spans="1:18">
      <c r="A59" s="618">
        <f t="shared" si="3"/>
        <v>53</v>
      </c>
      <c r="B59" s="946">
        <v>6</v>
      </c>
      <c r="C59" s="1343" t="s">
        <v>681</v>
      </c>
      <c r="D59" s="1068" t="s">
        <v>680</v>
      </c>
      <c r="E59" s="1344" t="s">
        <v>1225</v>
      </c>
      <c r="F59" s="1069" t="s">
        <v>637</v>
      </c>
      <c r="G59" s="562">
        <f t="shared" ref="G59" si="4">+H59+M59</f>
        <v>0</v>
      </c>
      <c r="H59" s="563">
        <f t="shared" ref="H59" si="5">+I59+J59+K59+L59</f>
        <v>0</v>
      </c>
      <c r="I59" s="1357"/>
      <c r="J59" s="1358"/>
      <c r="K59" s="1358"/>
      <c r="L59" s="1359"/>
      <c r="M59" s="563">
        <f t="shared" ref="M59" si="6">+N59+O59+P59</f>
        <v>0</v>
      </c>
      <c r="N59" s="1357"/>
      <c r="O59" s="1358"/>
      <c r="P59" s="1359"/>
      <c r="Q59" s="551"/>
      <c r="R59" s="551"/>
    </row>
    <row r="60" spans="1:18">
      <c r="A60" s="618">
        <f t="shared" si="3"/>
        <v>54</v>
      </c>
      <c r="B60" s="946">
        <v>6</v>
      </c>
      <c r="C60" s="1343" t="s">
        <v>681</v>
      </c>
      <c r="D60" s="1068" t="s">
        <v>680</v>
      </c>
      <c r="E60" s="1344" t="s">
        <v>1225</v>
      </c>
      <c r="F60" s="1069" t="s">
        <v>638</v>
      </c>
      <c r="G60" s="562">
        <f t="shared" ref="G60" si="7">+H60+M60</f>
        <v>0</v>
      </c>
      <c r="H60" s="563">
        <f t="shared" ref="H60" si="8">+I60+J60+K60+L60</f>
        <v>0</v>
      </c>
      <c r="I60" s="1357"/>
      <c r="J60" s="1358"/>
      <c r="K60" s="1358"/>
      <c r="L60" s="1359"/>
      <c r="M60" s="563">
        <f t="shared" ref="M60" si="9">+N60+O60+P60</f>
        <v>0</v>
      </c>
      <c r="N60" s="1357"/>
      <c r="O60" s="1358"/>
      <c r="P60" s="1359"/>
      <c r="Q60" s="551"/>
      <c r="R60" s="551"/>
    </row>
    <row r="61" spans="1:18">
      <c r="A61" s="618">
        <f t="shared" si="3"/>
        <v>55</v>
      </c>
      <c r="B61" s="947">
        <v>6</v>
      </c>
      <c r="C61" s="1343" t="s">
        <v>681</v>
      </c>
      <c r="D61" s="1068" t="s">
        <v>680</v>
      </c>
      <c r="E61" s="1344" t="s">
        <v>1225</v>
      </c>
      <c r="F61" s="1069" t="s">
        <v>639</v>
      </c>
      <c r="G61" s="562">
        <f t="shared" ref="G61" si="10">+H61+M61</f>
        <v>0</v>
      </c>
      <c r="H61" s="563">
        <f t="shared" ref="H61" si="11">+I61+J61+K61+L61</f>
        <v>0</v>
      </c>
      <c r="I61" s="1357"/>
      <c r="J61" s="1358"/>
      <c r="K61" s="1358"/>
      <c r="L61" s="1359"/>
      <c r="M61" s="563">
        <f t="shared" ref="M61" si="12">+N61+O61+P61</f>
        <v>0</v>
      </c>
      <c r="N61" s="1357"/>
      <c r="O61" s="1358"/>
      <c r="P61" s="1359"/>
      <c r="Q61" s="551"/>
      <c r="R61" s="551"/>
    </row>
    <row r="62" spans="1:18">
      <c r="A62" s="618">
        <f t="shared" si="3"/>
        <v>56</v>
      </c>
      <c r="B62" s="947">
        <v>7</v>
      </c>
      <c r="C62" s="1343" t="s">
        <v>1259</v>
      </c>
      <c r="D62" s="1068" t="s">
        <v>1272</v>
      </c>
      <c r="E62" s="1344" t="s">
        <v>1225</v>
      </c>
      <c r="F62" s="1069" t="s">
        <v>1271</v>
      </c>
      <c r="G62" s="562">
        <f t="shared" ref="G62" si="13">+H62+M62</f>
        <v>0</v>
      </c>
      <c r="H62" s="563">
        <f t="shared" ref="H62" si="14">+I62+J62+K62+L62</f>
        <v>0</v>
      </c>
      <c r="I62" s="1357"/>
      <c r="J62" s="1358"/>
      <c r="K62" s="1358"/>
      <c r="L62" s="1359"/>
      <c r="M62" s="563">
        <f t="shared" ref="M62" si="15">+N62+O62+P62</f>
        <v>0</v>
      </c>
      <c r="N62" s="1357"/>
      <c r="O62" s="1358"/>
      <c r="P62" s="1359"/>
      <c r="Q62" s="551"/>
      <c r="R62" s="551"/>
    </row>
    <row r="63" spans="1:18">
      <c r="A63" s="618">
        <f t="shared" si="3"/>
        <v>57</v>
      </c>
      <c r="B63" s="947">
        <v>8</v>
      </c>
      <c r="C63" s="1343" t="s">
        <v>1037</v>
      </c>
      <c r="D63" s="1068" t="s">
        <v>1039</v>
      </c>
      <c r="E63" s="1344" t="s">
        <v>1225</v>
      </c>
      <c r="F63" s="1069" t="s">
        <v>1038</v>
      </c>
      <c r="G63" s="562">
        <f t="shared" ref="G63" si="16">+H63+M63</f>
        <v>0</v>
      </c>
      <c r="H63" s="563">
        <f t="shared" ref="H63" si="17">+I63+J63+K63+L63</f>
        <v>0</v>
      </c>
      <c r="I63" s="1357"/>
      <c r="J63" s="1358"/>
      <c r="K63" s="1358"/>
      <c r="L63" s="1359"/>
      <c r="M63" s="563">
        <f t="shared" ref="M63" si="18">+N63+O63+P63</f>
        <v>0</v>
      </c>
      <c r="N63" s="1357"/>
      <c r="O63" s="1358"/>
      <c r="P63" s="1359"/>
      <c r="Q63" s="551"/>
      <c r="R63" s="551"/>
    </row>
    <row r="64" spans="1:18">
      <c r="A64" s="618">
        <f t="shared" si="3"/>
        <v>58</v>
      </c>
      <c r="B64" s="947">
        <v>6</v>
      </c>
      <c r="C64" s="1343" t="s">
        <v>1057</v>
      </c>
      <c r="D64" s="1068" t="s">
        <v>1059</v>
      </c>
      <c r="E64" s="1344" t="s">
        <v>1236</v>
      </c>
      <c r="F64" s="1069" t="s">
        <v>1059</v>
      </c>
      <c r="G64" s="562">
        <f t="shared" ref="G64" si="19">+H64+M64</f>
        <v>0</v>
      </c>
      <c r="H64" s="563">
        <f t="shared" ref="H64" si="20">+I64+J64+K64+L64</f>
        <v>0</v>
      </c>
      <c r="I64" s="1357"/>
      <c r="J64" s="1358"/>
      <c r="K64" s="1358"/>
      <c r="L64" s="1359"/>
      <c r="M64" s="563">
        <f t="shared" ref="M64" si="21">+N64+O64+P64</f>
        <v>0</v>
      </c>
      <c r="N64" s="1357"/>
      <c r="O64" s="1358"/>
      <c r="P64" s="1359"/>
      <c r="Q64" s="551"/>
      <c r="R64" s="551"/>
    </row>
    <row r="65" spans="1:18">
      <c r="A65" s="618">
        <f t="shared" si="3"/>
        <v>59</v>
      </c>
      <c r="B65" s="947">
        <v>6</v>
      </c>
      <c r="C65" s="1343" t="s">
        <v>676</v>
      </c>
      <c r="D65" s="1068" t="s">
        <v>677</v>
      </c>
      <c r="E65" s="1344" t="s">
        <v>1225</v>
      </c>
      <c r="F65" s="1069" t="s">
        <v>1032</v>
      </c>
      <c r="G65" s="562">
        <f t="shared" ref="G65" si="22">+H65+M65</f>
        <v>0</v>
      </c>
      <c r="H65" s="563">
        <f t="shared" ref="H65" si="23">+I65+J65+K65+L65</f>
        <v>0</v>
      </c>
      <c r="I65" s="1357"/>
      <c r="J65" s="1358"/>
      <c r="K65" s="1358"/>
      <c r="L65" s="1359"/>
      <c r="M65" s="563">
        <f t="shared" ref="M65" si="24">+N65+O65+P65</f>
        <v>0</v>
      </c>
      <c r="N65" s="1357"/>
      <c r="O65" s="1358"/>
      <c r="P65" s="1359"/>
      <c r="Q65" s="551"/>
      <c r="R65" s="551"/>
    </row>
    <row r="66" spans="1:18">
      <c r="A66" s="618">
        <f t="shared" si="3"/>
        <v>60</v>
      </c>
      <c r="B66" s="947">
        <v>6</v>
      </c>
      <c r="C66" s="1343" t="s">
        <v>682</v>
      </c>
      <c r="D66" s="1068" t="s">
        <v>683</v>
      </c>
      <c r="E66" s="1344" t="s">
        <v>1225</v>
      </c>
      <c r="F66" s="1069" t="s">
        <v>1034</v>
      </c>
      <c r="G66" s="562">
        <f t="shared" ref="G66:G77" si="25">+H66+M66</f>
        <v>0</v>
      </c>
      <c r="H66" s="563">
        <f t="shared" ref="H66:H77" si="26">+I66+J66+K66+L66</f>
        <v>0</v>
      </c>
      <c r="I66" s="1357"/>
      <c r="J66" s="1358"/>
      <c r="K66" s="1358"/>
      <c r="L66" s="1359"/>
      <c r="M66" s="563">
        <f t="shared" ref="M66:M77" si="27">+N66+O66+P66</f>
        <v>0</v>
      </c>
      <c r="N66" s="1357"/>
      <c r="O66" s="1358"/>
      <c r="P66" s="1359"/>
      <c r="Q66" s="551"/>
      <c r="R66" s="551"/>
    </row>
    <row r="67" spans="1:18">
      <c r="A67" s="618">
        <f t="shared" si="3"/>
        <v>61</v>
      </c>
      <c r="B67" s="947">
        <v>6</v>
      </c>
      <c r="C67" s="1343" t="s">
        <v>682</v>
      </c>
      <c r="D67" s="1068" t="s">
        <v>689</v>
      </c>
      <c r="E67" s="1344" t="s">
        <v>1225</v>
      </c>
      <c r="F67" s="1069" t="s">
        <v>640</v>
      </c>
      <c r="G67" s="562">
        <f t="shared" si="25"/>
        <v>0</v>
      </c>
      <c r="H67" s="563">
        <f t="shared" si="26"/>
        <v>0</v>
      </c>
      <c r="I67" s="1357"/>
      <c r="J67" s="1358"/>
      <c r="K67" s="1358"/>
      <c r="L67" s="1359"/>
      <c r="M67" s="563">
        <f t="shared" si="27"/>
        <v>0</v>
      </c>
      <c r="N67" s="1357"/>
      <c r="O67" s="1358"/>
      <c r="P67" s="1359"/>
      <c r="Q67" s="551"/>
      <c r="R67" s="551"/>
    </row>
    <row r="68" spans="1:18">
      <c r="A68" s="618">
        <f t="shared" si="3"/>
        <v>62</v>
      </c>
      <c r="B68" s="947">
        <v>7</v>
      </c>
      <c r="C68" s="1343" t="s">
        <v>704</v>
      </c>
      <c r="D68" s="1068" t="s">
        <v>1280</v>
      </c>
      <c r="E68" s="1344" t="s">
        <v>1228</v>
      </c>
      <c r="F68" s="1069" t="s">
        <v>1281</v>
      </c>
      <c r="G68" s="562">
        <f t="shared" ref="G68" si="28">+H68+M68</f>
        <v>0</v>
      </c>
      <c r="H68" s="563">
        <f t="shared" ref="H68" si="29">+I68+J68+K68+L68</f>
        <v>0</v>
      </c>
      <c r="I68" s="1357"/>
      <c r="J68" s="1358"/>
      <c r="K68" s="1358"/>
      <c r="L68" s="1359"/>
      <c r="M68" s="563">
        <f t="shared" ref="M68" si="30">+N68+O68+P68</f>
        <v>0</v>
      </c>
      <c r="N68" s="1357"/>
      <c r="O68" s="1358"/>
      <c r="P68" s="1359"/>
      <c r="Q68" s="551"/>
      <c r="R68" s="551"/>
    </row>
    <row r="69" spans="1:18">
      <c r="A69" s="618">
        <f t="shared" si="3"/>
        <v>63</v>
      </c>
      <c r="B69" s="947">
        <v>7</v>
      </c>
      <c r="C69" s="1343" t="s">
        <v>1254</v>
      </c>
      <c r="D69" s="1068" t="s">
        <v>1252</v>
      </c>
      <c r="E69" s="1344" t="s">
        <v>1225</v>
      </c>
      <c r="F69" s="1069" t="s">
        <v>1282</v>
      </c>
      <c r="G69" s="562">
        <f t="shared" si="25"/>
        <v>0</v>
      </c>
      <c r="H69" s="563">
        <f t="shared" si="26"/>
        <v>0</v>
      </c>
      <c r="I69" s="1357"/>
      <c r="J69" s="1358"/>
      <c r="K69" s="1358"/>
      <c r="L69" s="1359"/>
      <c r="M69" s="563">
        <f t="shared" si="27"/>
        <v>0</v>
      </c>
      <c r="N69" s="1357"/>
      <c r="O69" s="1358"/>
      <c r="P69" s="1359"/>
      <c r="Q69" s="551"/>
      <c r="R69" s="551"/>
    </row>
    <row r="70" spans="1:18">
      <c r="A70" s="618">
        <f t="shared" si="3"/>
        <v>64</v>
      </c>
      <c r="B70" s="947">
        <v>7</v>
      </c>
      <c r="C70" s="1343" t="s">
        <v>1259</v>
      </c>
      <c r="D70" s="1068" t="s">
        <v>1284</v>
      </c>
      <c r="E70" s="1344" t="s">
        <v>1225</v>
      </c>
      <c r="F70" s="1069" t="s">
        <v>1283</v>
      </c>
      <c r="G70" s="562">
        <f t="shared" ref="G70" si="31">+H70+M70</f>
        <v>0</v>
      </c>
      <c r="H70" s="563">
        <f t="shared" ref="H70" si="32">+I70+J70+K70+L70</f>
        <v>0</v>
      </c>
      <c r="I70" s="1357"/>
      <c r="J70" s="1358"/>
      <c r="K70" s="1358"/>
      <c r="L70" s="1359"/>
      <c r="M70" s="563">
        <f t="shared" ref="M70" si="33">+N70+O70+P70</f>
        <v>0</v>
      </c>
      <c r="N70" s="1357"/>
      <c r="O70" s="1358"/>
      <c r="P70" s="1359"/>
      <c r="Q70" s="551"/>
      <c r="R70" s="551"/>
    </row>
    <row r="71" spans="1:18">
      <c r="A71" s="618">
        <f t="shared" si="3"/>
        <v>65</v>
      </c>
      <c r="B71" s="947">
        <v>7</v>
      </c>
      <c r="C71" s="1343" t="s">
        <v>1285</v>
      </c>
      <c r="D71" s="1068" t="s">
        <v>1286</v>
      </c>
      <c r="E71" s="1344" t="s">
        <v>1225</v>
      </c>
      <c r="F71" s="1069" t="s">
        <v>1287</v>
      </c>
      <c r="G71" s="562">
        <f t="shared" si="25"/>
        <v>0</v>
      </c>
      <c r="H71" s="563">
        <f t="shared" si="26"/>
        <v>0</v>
      </c>
      <c r="I71" s="1357"/>
      <c r="J71" s="1358"/>
      <c r="K71" s="1358"/>
      <c r="L71" s="1359"/>
      <c r="M71" s="563">
        <f t="shared" si="27"/>
        <v>0</v>
      </c>
      <c r="N71" s="1357"/>
      <c r="O71" s="1358"/>
      <c r="P71" s="1359"/>
      <c r="Q71" s="551"/>
      <c r="R71" s="551"/>
    </row>
    <row r="72" spans="1:18">
      <c r="A72" s="618">
        <f t="shared" si="3"/>
        <v>66</v>
      </c>
      <c r="B72" s="947">
        <v>7</v>
      </c>
      <c r="C72" s="1343" t="s">
        <v>1288</v>
      </c>
      <c r="D72" s="1068" t="s">
        <v>1289</v>
      </c>
      <c r="E72" s="1344" t="s">
        <v>1225</v>
      </c>
      <c r="F72" s="1069" t="s">
        <v>1294</v>
      </c>
      <c r="G72" s="562">
        <f t="shared" ref="G72" si="34">+H72+M72</f>
        <v>0</v>
      </c>
      <c r="H72" s="563">
        <f t="shared" ref="H72" si="35">+I72+J72+K72+L72</f>
        <v>0</v>
      </c>
      <c r="I72" s="1357"/>
      <c r="J72" s="1358"/>
      <c r="K72" s="1358"/>
      <c r="L72" s="1359"/>
      <c r="M72" s="563">
        <f t="shared" ref="M72" si="36">+N72+O72+P72</f>
        <v>0</v>
      </c>
      <c r="N72" s="1357"/>
      <c r="O72" s="1358"/>
      <c r="P72" s="1359"/>
      <c r="Q72" s="551"/>
      <c r="R72" s="551"/>
    </row>
    <row r="73" spans="1:18">
      <c r="A73" s="618">
        <f t="shared" si="3"/>
        <v>67</v>
      </c>
      <c r="B73" s="947">
        <v>7</v>
      </c>
      <c r="C73" s="1343" t="s">
        <v>1290</v>
      </c>
      <c r="D73" s="1068" t="s">
        <v>1291</v>
      </c>
      <c r="E73" s="1344" t="s">
        <v>1292</v>
      </c>
      <c r="F73" s="1069" t="s">
        <v>1293</v>
      </c>
      <c r="G73" s="562">
        <f t="shared" si="25"/>
        <v>0</v>
      </c>
      <c r="H73" s="563">
        <f t="shared" si="26"/>
        <v>0</v>
      </c>
      <c r="I73" s="1357"/>
      <c r="J73" s="1358"/>
      <c r="K73" s="1358"/>
      <c r="L73" s="1359"/>
      <c r="M73" s="563">
        <f t="shared" si="27"/>
        <v>0</v>
      </c>
      <c r="N73" s="1357"/>
      <c r="O73" s="1358"/>
      <c r="P73" s="1359"/>
      <c r="Q73" s="551"/>
      <c r="R73" s="551"/>
    </row>
    <row r="74" spans="1:18">
      <c r="A74" s="618">
        <f t="shared" si="3"/>
        <v>68</v>
      </c>
      <c r="B74" s="947">
        <v>7</v>
      </c>
      <c r="C74" s="1343" t="s">
        <v>1037</v>
      </c>
      <c r="D74" s="1068" t="s">
        <v>1295</v>
      </c>
      <c r="E74" s="1344" t="s">
        <v>1225</v>
      </c>
      <c r="F74" s="1069" t="s">
        <v>1296</v>
      </c>
      <c r="G74" s="562">
        <f t="shared" ref="G74" si="37">+H74+M74</f>
        <v>0</v>
      </c>
      <c r="H74" s="563">
        <f t="shared" ref="H74" si="38">+I74+J74+K74+L74</f>
        <v>0</v>
      </c>
      <c r="I74" s="1357"/>
      <c r="J74" s="1358"/>
      <c r="K74" s="1358"/>
      <c r="L74" s="1359"/>
      <c r="M74" s="563">
        <f t="shared" ref="M74" si="39">+N74+O74+P74</f>
        <v>0</v>
      </c>
      <c r="N74" s="1357"/>
      <c r="O74" s="1358"/>
      <c r="P74" s="1359"/>
      <c r="Q74" s="551"/>
      <c r="R74" s="551"/>
    </row>
    <row r="75" spans="1:18">
      <c r="A75" s="618">
        <f t="shared" si="3"/>
        <v>69</v>
      </c>
      <c r="B75" s="947">
        <v>7</v>
      </c>
      <c r="C75" s="1343" t="s">
        <v>1254</v>
      </c>
      <c r="D75" s="1068" t="s">
        <v>1252</v>
      </c>
      <c r="E75" s="1344" t="s">
        <v>1225</v>
      </c>
      <c r="F75" s="1069" t="s">
        <v>1297</v>
      </c>
      <c r="G75" s="562">
        <f t="shared" si="25"/>
        <v>0</v>
      </c>
      <c r="H75" s="563">
        <f t="shared" si="26"/>
        <v>0</v>
      </c>
      <c r="I75" s="1357"/>
      <c r="J75" s="1358"/>
      <c r="K75" s="1358"/>
      <c r="L75" s="1359"/>
      <c r="M75" s="563">
        <f t="shared" si="27"/>
        <v>0</v>
      </c>
      <c r="N75" s="1357"/>
      <c r="O75" s="1358"/>
      <c r="P75" s="1359"/>
      <c r="Q75" s="551"/>
      <c r="R75" s="551"/>
    </row>
    <row r="76" spans="1:18">
      <c r="A76" s="618">
        <f t="shared" si="3"/>
        <v>70</v>
      </c>
      <c r="B76" s="947">
        <v>7</v>
      </c>
      <c r="C76" s="1343" t="s">
        <v>1298</v>
      </c>
      <c r="D76" s="1068" t="s">
        <v>1300</v>
      </c>
      <c r="E76" s="1344" t="s">
        <v>1225</v>
      </c>
      <c r="F76" s="1069" t="s">
        <v>1299</v>
      </c>
      <c r="G76" s="562">
        <f t="shared" ref="G76" si="40">+H76+M76</f>
        <v>0</v>
      </c>
      <c r="H76" s="563">
        <f t="shared" ref="H76" si="41">+I76+J76+K76+L76</f>
        <v>0</v>
      </c>
      <c r="I76" s="1357"/>
      <c r="J76" s="1358"/>
      <c r="K76" s="1358"/>
      <c r="L76" s="1359"/>
      <c r="M76" s="563">
        <f t="shared" ref="M76" si="42">+N76+O76+P76</f>
        <v>0</v>
      </c>
      <c r="N76" s="1357"/>
      <c r="O76" s="1358"/>
      <c r="P76" s="1359"/>
      <c r="Q76" s="551"/>
      <c r="R76" s="551"/>
    </row>
    <row r="77" spans="1:18">
      <c r="A77" s="618">
        <f t="shared" si="3"/>
        <v>71</v>
      </c>
      <c r="B77" s="947">
        <v>7</v>
      </c>
      <c r="C77" s="1343" t="s">
        <v>1259</v>
      </c>
      <c r="D77" s="1068" t="s">
        <v>1260</v>
      </c>
      <c r="E77" s="1344" t="s">
        <v>1225</v>
      </c>
      <c r="F77" s="1069" t="s">
        <v>1301</v>
      </c>
      <c r="G77" s="562">
        <f t="shared" si="25"/>
        <v>0</v>
      </c>
      <c r="H77" s="563">
        <f t="shared" si="26"/>
        <v>0</v>
      </c>
      <c r="I77" s="1357"/>
      <c r="J77" s="1358"/>
      <c r="K77" s="1358"/>
      <c r="L77" s="1359"/>
      <c r="M77" s="563">
        <f t="shared" si="27"/>
        <v>0</v>
      </c>
      <c r="N77" s="1357"/>
      <c r="O77" s="1358"/>
      <c r="P77" s="1359"/>
      <c r="Q77" s="551"/>
      <c r="R77" s="551"/>
    </row>
    <row r="78" spans="1:18">
      <c r="A78" s="618">
        <f t="shared" si="3"/>
        <v>72</v>
      </c>
      <c r="B78" s="947">
        <v>7</v>
      </c>
      <c r="C78" s="1343" t="s">
        <v>1288</v>
      </c>
      <c r="D78" s="1068" t="s">
        <v>1302</v>
      </c>
      <c r="E78" s="1344" t="s">
        <v>1225</v>
      </c>
      <c r="F78" s="1069" t="s">
        <v>1303</v>
      </c>
      <c r="G78" s="562">
        <f t="shared" ref="G78" si="43">+H78+M78</f>
        <v>0</v>
      </c>
      <c r="H78" s="563">
        <f t="shared" ref="H78" si="44">+I78+J78+K78+L78</f>
        <v>0</v>
      </c>
      <c r="I78" s="1357"/>
      <c r="J78" s="1358"/>
      <c r="K78" s="1358"/>
      <c r="L78" s="1359"/>
      <c r="M78" s="563">
        <f t="shared" ref="M78" si="45">+N78+O78+P78</f>
        <v>0</v>
      </c>
      <c r="N78" s="1357"/>
      <c r="O78" s="1358"/>
      <c r="P78" s="1359"/>
      <c r="Q78" s="551"/>
      <c r="R78" s="551"/>
    </row>
    <row r="79" spans="1:18" ht="12.75" thickBot="1">
      <c r="A79" s="618">
        <f t="shared" si="3"/>
        <v>73</v>
      </c>
      <c r="B79" s="947">
        <v>8</v>
      </c>
      <c r="C79" s="1343" t="s">
        <v>671</v>
      </c>
      <c r="D79" s="1068" t="s">
        <v>670</v>
      </c>
      <c r="E79" s="1344" t="s">
        <v>1225</v>
      </c>
      <c r="F79" s="1069" t="s">
        <v>635</v>
      </c>
      <c r="G79" s="562">
        <f t="shared" si="0"/>
        <v>0</v>
      </c>
      <c r="H79" s="563">
        <f t="shared" si="1"/>
        <v>0</v>
      </c>
      <c r="I79" s="1357"/>
      <c r="J79" s="1358"/>
      <c r="K79" s="1358"/>
      <c r="L79" s="1359"/>
      <c r="M79" s="563">
        <f t="shared" si="2"/>
        <v>0</v>
      </c>
      <c r="N79" s="1357"/>
      <c r="O79" s="1358"/>
      <c r="P79" s="1359"/>
      <c r="Q79" s="551"/>
      <c r="R79" s="551"/>
    </row>
    <row r="80" spans="1:18" s="549" customFormat="1" ht="12.75" thickBot="1">
      <c r="A80" s="614" t="s">
        <v>587</v>
      </c>
      <c r="B80" s="948"/>
      <c r="C80" s="1198" t="s">
        <v>410</v>
      </c>
      <c r="D80" s="1199"/>
      <c r="E80" s="1199"/>
      <c r="F80" s="1200"/>
      <c r="G80" s="566">
        <f t="shared" ref="G80:P80" si="46">SUM(G7:G79)</f>
        <v>1581402</v>
      </c>
      <c r="H80" s="477">
        <f t="shared" si="46"/>
        <v>1508776</v>
      </c>
      <c r="I80" s="567">
        <f t="shared" si="46"/>
        <v>988986</v>
      </c>
      <c r="J80" s="404">
        <f t="shared" si="46"/>
        <v>396552</v>
      </c>
      <c r="K80" s="404">
        <f t="shared" si="46"/>
        <v>123238</v>
      </c>
      <c r="L80" s="391">
        <f t="shared" si="46"/>
        <v>0</v>
      </c>
      <c r="M80" s="477">
        <f t="shared" si="46"/>
        <v>72626</v>
      </c>
      <c r="N80" s="567">
        <f t="shared" si="46"/>
        <v>32276</v>
      </c>
      <c r="O80" s="404">
        <f t="shared" si="46"/>
        <v>40350</v>
      </c>
      <c r="P80" s="391">
        <f t="shared" si="46"/>
        <v>0</v>
      </c>
      <c r="Q80" s="551"/>
      <c r="R80" s="551"/>
    </row>
    <row r="81" spans="1:18">
      <c r="A81" s="618">
        <f>A79+1</f>
        <v>74</v>
      </c>
      <c r="B81" s="945">
        <v>9</v>
      </c>
      <c r="C81" s="1339" t="s">
        <v>1030</v>
      </c>
      <c r="D81" s="1066" t="s">
        <v>1029</v>
      </c>
      <c r="E81" s="1340" t="s">
        <v>1235</v>
      </c>
      <c r="F81" s="1346" t="s">
        <v>1097</v>
      </c>
      <c r="G81" s="540">
        <f t="shared" ref="G81:G86" si="47">+H81+M81</f>
        <v>0</v>
      </c>
      <c r="H81" s="541">
        <f t="shared" ref="H81:H86" si="48">+I81+J81+K81+L81</f>
        <v>0</v>
      </c>
      <c r="I81" s="1357"/>
      <c r="J81" s="1358"/>
      <c r="K81" s="1358"/>
      <c r="L81" s="1359"/>
      <c r="M81" s="541">
        <f t="shared" ref="M81:M86" si="49">+N81+O81+P81</f>
        <v>0</v>
      </c>
      <c r="N81" s="1357"/>
      <c r="O81" s="1358"/>
      <c r="P81" s="1359"/>
      <c r="Q81" s="551"/>
      <c r="R81" s="551"/>
    </row>
    <row r="82" spans="1:18">
      <c r="A82" s="618">
        <f>+A81+1</f>
        <v>75</v>
      </c>
      <c r="B82" s="946">
        <v>10</v>
      </c>
      <c r="C82" s="1342" t="s">
        <v>734</v>
      </c>
      <c r="D82" s="1062" t="s">
        <v>735</v>
      </c>
      <c r="E82" s="1341" t="s">
        <v>1225</v>
      </c>
      <c r="F82" s="1347" t="s">
        <v>656</v>
      </c>
      <c r="G82" s="558">
        <f t="shared" si="47"/>
        <v>1100</v>
      </c>
      <c r="H82" s="559">
        <f t="shared" si="48"/>
        <v>0</v>
      </c>
      <c r="I82" s="1357"/>
      <c r="J82" s="1361"/>
      <c r="K82" s="1361"/>
      <c r="L82" s="1362"/>
      <c r="M82" s="559">
        <f t="shared" si="49"/>
        <v>1100</v>
      </c>
      <c r="N82" s="1360"/>
      <c r="O82" s="1361"/>
      <c r="P82" s="1362">
        <v>1100</v>
      </c>
      <c r="Q82" s="551"/>
      <c r="R82" s="551"/>
    </row>
    <row r="83" spans="1:18">
      <c r="A83" s="618">
        <f t="shared" si="3"/>
        <v>76</v>
      </c>
      <c r="B83" s="945">
        <v>10</v>
      </c>
      <c r="C83" s="1339" t="s">
        <v>733</v>
      </c>
      <c r="D83" s="1066" t="s">
        <v>1022</v>
      </c>
      <c r="E83" s="1341" t="s">
        <v>1237</v>
      </c>
      <c r="F83" s="1348" t="s">
        <v>655</v>
      </c>
      <c r="G83" s="558">
        <f t="shared" si="47"/>
        <v>0</v>
      </c>
      <c r="H83" s="559">
        <f t="shared" si="48"/>
        <v>0</v>
      </c>
      <c r="I83" s="1357"/>
      <c r="J83" s="1361"/>
      <c r="K83" s="1361"/>
      <c r="L83" s="1362"/>
      <c r="M83" s="559">
        <f t="shared" si="49"/>
        <v>0</v>
      </c>
      <c r="N83" s="1360"/>
      <c r="O83" s="1361"/>
      <c r="P83" s="1362"/>
      <c r="Q83" s="551"/>
      <c r="R83" s="551"/>
    </row>
    <row r="84" spans="1:18">
      <c r="A84" s="618">
        <f t="shared" si="3"/>
        <v>77</v>
      </c>
      <c r="B84" s="946">
        <v>10</v>
      </c>
      <c r="C84" s="1342" t="s">
        <v>737</v>
      </c>
      <c r="D84" s="1062" t="s">
        <v>736</v>
      </c>
      <c r="E84" s="1341" t="s">
        <v>1225</v>
      </c>
      <c r="F84" s="1348" t="s">
        <v>664</v>
      </c>
      <c r="G84" s="558">
        <f t="shared" si="47"/>
        <v>0</v>
      </c>
      <c r="H84" s="559">
        <f t="shared" si="48"/>
        <v>0</v>
      </c>
      <c r="I84" s="1357"/>
      <c r="J84" s="1361"/>
      <c r="K84" s="1361"/>
      <c r="L84" s="1362"/>
      <c r="M84" s="559">
        <f t="shared" si="49"/>
        <v>0</v>
      </c>
      <c r="N84" s="1360"/>
      <c r="O84" s="1361"/>
      <c r="P84" s="1362"/>
      <c r="Q84" s="551"/>
      <c r="R84" s="551"/>
    </row>
    <row r="85" spans="1:18">
      <c r="A85" s="618">
        <f t="shared" si="3"/>
        <v>78</v>
      </c>
      <c r="B85" s="945">
        <v>10</v>
      </c>
      <c r="C85" s="1339" t="s">
        <v>1035</v>
      </c>
      <c r="D85" s="1066" t="s">
        <v>1036</v>
      </c>
      <c r="E85" s="1341" t="s">
        <v>1225</v>
      </c>
      <c r="F85" s="1348" t="s">
        <v>654</v>
      </c>
      <c r="G85" s="558">
        <f t="shared" si="47"/>
        <v>0</v>
      </c>
      <c r="H85" s="559">
        <f t="shared" si="48"/>
        <v>0</v>
      </c>
      <c r="I85" s="1357"/>
      <c r="J85" s="1361"/>
      <c r="K85" s="1358"/>
      <c r="L85" s="1362"/>
      <c r="M85" s="559">
        <f t="shared" si="49"/>
        <v>0</v>
      </c>
      <c r="N85" s="1360"/>
      <c r="O85" s="1358"/>
      <c r="P85" s="1362"/>
      <c r="Q85" s="551"/>
      <c r="R85" s="551"/>
    </row>
    <row r="86" spans="1:18" ht="12.75" thickBot="1">
      <c r="A86" s="618">
        <f t="shared" si="3"/>
        <v>79</v>
      </c>
      <c r="B86" s="946">
        <v>9</v>
      </c>
      <c r="C86" s="1342" t="s">
        <v>687</v>
      </c>
      <c r="D86" s="1062" t="s">
        <v>688</v>
      </c>
      <c r="E86" s="1341" t="s">
        <v>1225</v>
      </c>
      <c r="F86" s="1348" t="s">
        <v>686</v>
      </c>
      <c r="G86" s="558">
        <f t="shared" si="47"/>
        <v>0</v>
      </c>
      <c r="H86" s="559">
        <f t="shared" si="48"/>
        <v>0</v>
      </c>
      <c r="I86" s="1357"/>
      <c r="J86" s="1361"/>
      <c r="K86" s="1361"/>
      <c r="L86" s="1362"/>
      <c r="M86" s="559">
        <f t="shared" si="49"/>
        <v>0</v>
      </c>
      <c r="N86" s="1360"/>
      <c r="O86" s="1361"/>
      <c r="P86" s="1362"/>
      <c r="Q86" s="551"/>
      <c r="R86" s="551"/>
    </row>
    <row r="87" spans="1:18" s="549" customFormat="1" ht="12.75" thickBot="1">
      <c r="A87" s="614" t="s">
        <v>588</v>
      </c>
      <c r="B87" s="948"/>
      <c r="C87" s="1198" t="s">
        <v>411</v>
      </c>
      <c r="D87" s="1199"/>
      <c r="E87" s="1199"/>
      <c r="F87" s="1200"/>
      <c r="G87" s="566">
        <f>SUM(G81:G86)</f>
        <v>1100</v>
      </c>
      <c r="H87" s="477">
        <f t="shared" ref="H87:P87" si="50">SUM(H81:H86)</f>
        <v>0</v>
      </c>
      <c r="I87" s="567">
        <f t="shared" si="50"/>
        <v>0</v>
      </c>
      <c r="J87" s="404">
        <f t="shared" si="50"/>
        <v>0</v>
      </c>
      <c r="K87" s="404">
        <f t="shared" si="50"/>
        <v>0</v>
      </c>
      <c r="L87" s="391">
        <f t="shared" si="50"/>
        <v>0</v>
      </c>
      <c r="M87" s="477">
        <f t="shared" si="50"/>
        <v>1100</v>
      </c>
      <c r="N87" s="567">
        <f t="shared" si="50"/>
        <v>0</v>
      </c>
      <c r="O87" s="404">
        <f t="shared" si="50"/>
        <v>0</v>
      </c>
      <c r="P87" s="391">
        <f t="shared" si="50"/>
        <v>1100</v>
      </c>
      <c r="Q87" s="551"/>
      <c r="R87" s="551"/>
    </row>
    <row r="88" spans="1:18" s="553" customFormat="1" ht="12.75" customHeight="1" thickBot="1">
      <c r="A88" s="618">
        <f>+A86+1</f>
        <v>80</v>
      </c>
      <c r="B88" s="946">
        <v>11</v>
      </c>
      <c r="C88" s="1342" t="s">
        <v>19</v>
      </c>
      <c r="D88" s="1349" t="s">
        <v>19</v>
      </c>
      <c r="E88" s="1340" t="s">
        <v>19</v>
      </c>
      <c r="F88" s="1349" t="s">
        <v>19</v>
      </c>
      <c r="G88" s="540">
        <f>+H88+M88</f>
        <v>0</v>
      </c>
      <c r="H88" s="541">
        <f>+I88+J88+K88+L88</f>
        <v>0</v>
      </c>
      <c r="I88" s="1357"/>
      <c r="J88" s="1361"/>
      <c r="K88" s="1361"/>
      <c r="L88" s="1362"/>
      <c r="M88" s="541">
        <f>+N88+O88+P88</f>
        <v>0</v>
      </c>
      <c r="N88" s="1360"/>
      <c r="O88" s="1361"/>
      <c r="P88" s="1362"/>
      <c r="Q88" s="551"/>
      <c r="R88" s="551"/>
    </row>
    <row r="89" spans="1:18" s="549" customFormat="1" ht="12.75" thickBot="1">
      <c r="A89" s="614" t="s">
        <v>589</v>
      </c>
      <c r="B89" s="948"/>
      <c r="C89" s="1198" t="s">
        <v>412</v>
      </c>
      <c r="D89" s="1199"/>
      <c r="E89" s="1199"/>
      <c r="F89" s="1200"/>
      <c r="G89" s="566">
        <f t="shared" ref="G89:P89" si="51">SUM(G88:G88)</f>
        <v>0</v>
      </c>
      <c r="H89" s="477">
        <f t="shared" si="51"/>
        <v>0</v>
      </c>
      <c r="I89" s="567">
        <f t="shared" si="51"/>
        <v>0</v>
      </c>
      <c r="J89" s="404">
        <f t="shared" si="51"/>
        <v>0</v>
      </c>
      <c r="K89" s="404">
        <f t="shared" si="51"/>
        <v>0</v>
      </c>
      <c r="L89" s="391">
        <f t="shared" si="51"/>
        <v>0</v>
      </c>
      <c r="M89" s="477">
        <f t="shared" si="51"/>
        <v>0</v>
      </c>
      <c r="N89" s="567">
        <f t="shared" si="51"/>
        <v>0</v>
      </c>
      <c r="O89" s="404">
        <f t="shared" si="51"/>
        <v>0</v>
      </c>
      <c r="P89" s="391">
        <f t="shared" si="51"/>
        <v>0</v>
      </c>
      <c r="Q89" s="551"/>
      <c r="R89" s="551"/>
    </row>
    <row r="90" spans="1:18" s="549" customFormat="1" ht="12.75" thickBot="1">
      <c r="A90" s="615" t="s">
        <v>23</v>
      </c>
      <c r="B90" s="949"/>
      <c r="C90" s="1195" t="s">
        <v>413</v>
      </c>
      <c r="D90" s="1196"/>
      <c r="E90" s="1196"/>
      <c r="F90" s="1197"/>
      <c r="G90" s="569">
        <f t="shared" ref="G90:P90" si="52">+G80+G87+G89</f>
        <v>1582502</v>
      </c>
      <c r="H90" s="569">
        <f t="shared" si="52"/>
        <v>1508776</v>
      </c>
      <c r="I90" s="570">
        <f t="shared" si="52"/>
        <v>988986</v>
      </c>
      <c r="J90" s="571">
        <f t="shared" si="52"/>
        <v>396552</v>
      </c>
      <c r="K90" s="571">
        <f t="shared" si="52"/>
        <v>123238</v>
      </c>
      <c r="L90" s="572">
        <f t="shared" si="52"/>
        <v>0</v>
      </c>
      <c r="M90" s="569">
        <f t="shared" si="52"/>
        <v>73726</v>
      </c>
      <c r="N90" s="570">
        <f t="shared" si="52"/>
        <v>32276</v>
      </c>
      <c r="O90" s="571">
        <f t="shared" si="52"/>
        <v>40350</v>
      </c>
      <c r="P90" s="572">
        <f t="shared" si="52"/>
        <v>1100</v>
      </c>
      <c r="Q90" s="551"/>
      <c r="R90" s="551"/>
    </row>
    <row r="91" spans="1:18" ht="12.75" thickBot="1">
      <c r="A91" s="940"/>
      <c r="B91" s="950"/>
      <c r="C91" s="1041"/>
      <c r="D91" s="612"/>
      <c r="E91" s="1036"/>
      <c r="F91" s="573"/>
      <c r="G91" s="574"/>
      <c r="H91" s="575"/>
      <c r="I91" s="576"/>
      <c r="J91" s="577"/>
      <c r="K91" s="577"/>
      <c r="L91" s="578"/>
      <c r="M91" s="575"/>
      <c r="N91" s="576"/>
      <c r="O91" s="577"/>
      <c r="P91" s="578"/>
      <c r="Q91" s="551"/>
      <c r="R91" s="551"/>
    </row>
    <row r="92" spans="1:18" s="564" customFormat="1">
      <c r="A92" s="619">
        <f>A88+1</f>
        <v>81</v>
      </c>
      <c r="B92" s="951">
        <v>12</v>
      </c>
      <c r="C92" s="1350" t="s">
        <v>667</v>
      </c>
      <c r="D92" s="1077" t="s">
        <v>666</v>
      </c>
      <c r="E92" s="1351" t="s">
        <v>1225</v>
      </c>
      <c r="F92" s="1352" t="s">
        <v>995</v>
      </c>
      <c r="G92" s="538">
        <f>+H92+M92</f>
        <v>0</v>
      </c>
      <c r="H92" s="539">
        <f>+I92+J92+K92+L92</f>
        <v>0</v>
      </c>
      <c r="I92" s="1363"/>
      <c r="J92" s="1364"/>
      <c r="K92" s="1364"/>
      <c r="L92" s="1365"/>
      <c r="M92" s="539">
        <f>+N92+O92+P92</f>
        <v>0</v>
      </c>
      <c r="N92" s="1363"/>
      <c r="O92" s="1364"/>
      <c r="P92" s="1365"/>
      <c r="Q92" s="551"/>
      <c r="R92" s="551"/>
    </row>
    <row r="93" spans="1:18" s="553" customFormat="1" ht="24">
      <c r="A93" s="618">
        <f>+A92+1</f>
        <v>82</v>
      </c>
      <c r="B93" s="946">
        <v>13</v>
      </c>
      <c r="C93" s="1342" t="s">
        <v>1037</v>
      </c>
      <c r="D93" s="1062" t="s">
        <v>1255</v>
      </c>
      <c r="E93" s="1340" t="s">
        <v>1225</v>
      </c>
      <c r="F93" s="1349" t="s">
        <v>1248</v>
      </c>
      <c r="G93" s="540">
        <f>+H93+M93</f>
        <v>0</v>
      </c>
      <c r="H93" s="541">
        <f>+I93+J93+K93+L93</f>
        <v>0</v>
      </c>
      <c r="I93" s="1360"/>
      <c r="J93" s="1361"/>
      <c r="K93" s="1361"/>
      <c r="L93" s="1362"/>
      <c r="M93" s="541">
        <f>+N93+O93+P93</f>
        <v>0</v>
      </c>
      <c r="N93" s="1360"/>
      <c r="O93" s="1361"/>
      <c r="P93" s="1362"/>
      <c r="Q93" s="551"/>
      <c r="R93" s="551"/>
    </row>
    <row r="94" spans="1:18">
      <c r="A94" s="618">
        <f t="shared" ref="A94:A96" si="53">+A93+1</f>
        <v>83</v>
      </c>
      <c r="B94" s="946">
        <v>14</v>
      </c>
      <c r="C94" s="1342" t="s">
        <v>701</v>
      </c>
      <c r="D94" s="1062" t="s">
        <v>700</v>
      </c>
      <c r="E94" s="1341" t="s">
        <v>1229</v>
      </c>
      <c r="F94" s="1347" t="s">
        <v>776</v>
      </c>
      <c r="G94" s="558">
        <f>+H94+M94</f>
        <v>8308</v>
      </c>
      <c r="H94" s="559">
        <f>+I94+J94+K94+L94</f>
        <v>8308</v>
      </c>
      <c r="I94" s="1360"/>
      <c r="J94" s="1361"/>
      <c r="K94" s="1361">
        <v>8308</v>
      </c>
      <c r="L94" s="1362"/>
      <c r="M94" s="559">
        <f>+N94+O94+P94</f>
        <v>0</v>
      </c>
      <c r="N94" s="1360"/>
      <c r="O94" s="1361"/>
      <c r="P94" s="1362"/>
      <c r="Q94" s="551"/>
      <c r="R94" s="551"/>
    </row>
    <row r="95" spans="1:18">
      <c r="A95" s="618">
        <f t="shared" si="53"/>
        <v>84</v>
      </c>
      <c r="B95" s="946">
        <v>14</v>
      </c>
      <c r="C95" s="1342" t="s">
        <v>701</v>
      </c>
      <c r="D95" s="1062" t="s">
        <v>700</v>
      </c>
      <c r="E95" s="1341" t="s">
        <v>1229</v>
      </c>
      <c r="F95" s="1347" t="s">
        <v>1040</v>
      </c>
      <c r="G95" s="558">
        <f>+H95+M95</f>
        <v>1000</v>
      </c>
      <c r="H95" s="559">
        <f>+I95+J95+K95+L95</f>
        <v>1000</v>
      </c>
      <c r="I95" s="1360"/>
      <c r="J95" s="1361"/>
      <c r="K95" s="1361">
        <v>1000</v>
      </c>
      <c r="L95" s="1362"/>
      <c r="M95" s="559">
        <f>+N95+O95+P95</f>
        <v>0</v>
      </c>
      <c r="N95" s="1360"/>
      <c r="O95" s="1361"/>
      <c r="P95" s="1362"/>
      <c r="Q95" s="551"/>
      <c r="R95" s="551"/>
    </row>
    <row r="96" spans="1:18" ht="12.75" thickBot="1">
      <c r="A96" s="618">
        <f t="shared" si="53"/>
        <v>85</v>
      </c>
      <c r="B96" s="946">
        <v>14</v>
      </c>
      <c r="C96" s="1342" t="s">
        <v>1002</v>
      </c>
      <c r="D96" s="1062" t="s">
        <v>1003</v>
      </c>
      <c r="E96" s="1341" t="s">
        <v>1225</v>
      </c>
      <c r="F96" s="1347" t="s">
        <v>995</v>
      </c>
      <c r="G96" s="558">
        <f>+H96+M96</f>
        <v>0</v>
      </c>
      <c r="H96" s="559">
        <f>+I96+J96+K96+L96</f>
        <v>0</v>
      </c>
      <c r="I96" s="1360"/>
      <c r="J96" s="1361"/>
      <c r="K96" s="1361"/>
      <c r="L96" s="1362"/>
      <c r="M96" s="559">
        <f>+N96+O96+P96</f>
        <v>0</v>
      </c>
      <c r="N96" s="1360"/>
      <c r="O96" s="1361"/>
      <c r="P96" s="1362"/>
      <c r="Q96" s="551"/>
      <c r="R96" s="551"/>
    </row>
    <row r="97" spans="1:18" s="549" customFormat="1" ht="12.75" thickBot="1">
      <c r="A97" s="614" t="s">
        <v>590</v>
      </c>
      <c r="B97" s="948"/>
      <c r="C97" s="1198" t="s">
        <v>869</v>
      </c>
      <c r="D97" s="1199"/>
      <c r="E97" s="1199"/>
      <c r="F97" s="1200"/>
      <c r="G97" s="566">
        <f t="shared" ref="G97:P97" si="54">SUM(G92:G96)</f>
        <v>9308</v>
      </c>
      <c r="H97" s="477">
        <f t="shared" si="54"/>
        <v>9308</v>
      </c>
      <c r="I97" s="567">
        <f t="shared" si="54"/>
        <v>0</v>
      </c>
      <c r="J97" s="404">
        <f t="shared" si="54"/>
        <v>0</v>
      </c>
      <c r="K97" s="404">
        <f t="shared" si="54"/>
        <v>9308</v>
      </c>
      <c r="L97" s="391">
        <f t="shared" si="54"/>
        <v>0</v>
      </c>
      <c r="M97" s="477">
        <f t="shared" si="54"/>
        <v>0</v>
      </c>
      <c r="N97" s="567">
        <f t="shared" si="54"/>
        <v>0</v>
      </c>
      <c r="O97" s="404">
        <f t="shared" si="54"/>
        <v>0</v>
      </c>
      <c r="P97" s="391">
        <f t="shared" si="54"/>
        <v>0</v>
      </c>
      <c r="Q97" s="551"/>
      <c r="R97" s="551"/>
    </row>
    <row r="98" spans="1:18" s="564" customFormat="1">
      <c r="A98" s="618">
        <f>+A96+1</f>
        <v>86</v>
      </c>
      <c r="B98" s="946">
        <v>15</v>
      </c>
      <c r="C98" s="1342" t="s">
        <v>667</v>
      </c>
      <c r="D98" s="1062" t="s">
        <v>666</v>
      </c>
      <c r="E98" s="1341" t="s">
        <v>1238</v>
      </c>
      <c r="F98" s="1347" t="s">
        <v>416</v>
      </c>
      <c r="G98" s="558">
        <f>+H98+M98</f>
        <v>32151</v>
      </c>
      <c r="H98" s="559">
        <f>+I98+J98+K98+L98</f>
        <v>32151</v>
      </c>
      <c r="I98" s="1360"/>
      <c r="J98" s="1361"/>
      <c r="K98" s="1361">
        <v>32151</v>
      </c>
      <c r="L98" s="1362"/>
      <c r="M98" s="559">
        <f>+N98+O98+P98</f>
        <v>0</v>
      </c>
      <c r="N98" s="1360"/>
      <c r="O98" s="1361"/>
      <c r="P98" s="1362"/>
      <c r="Q98" s="551"/>
      <c r="R98" s="551"/>
    </row>
    <row r="99" spans="1:18" s="564" customFormat="1">
      <c r="A99" s="618">
        <f>+A98+1</f>
        <v>87</v>
      </c>
      <c r="B99" s="946">
        <v>16</v>
      </c>
      <c r="C99" s="1342" t="s">
        <v>1073</v>
      </c>
      <c r="D99" s="1062" t="s">
        <v>732</v>
      </c>
      <c r="E99" s="1341" t="s">
        <v>1225</v>
      </c>
      <c r="F99" s="1347" t="s">
        <v>647</v>
      </c>
      <c r="G99" s="558">
        <f>+H99+M99</f>
        <v>0</v>
      </c>
      <c r="H99" s="559">
        <f>+I99+J99+K99+L99</f>
        <v>0</v>
      </c>
      <c r="I99" s="1360"/>
      <c r="J99" s="1361"/>
      <c r="K99" s="1361"/>
      <c r="L99" s="1362"/>
      <c r="M99" s="559">
        <f>+N99+O99+P99</f>
        <v>0</v>
      </c>
      <c r="N99" s="1360"/>
      <c r="O99" s="1361"/>
      <c r="P99" s="1362"/>
      <c r="Q99" s="551"/>
      <c r="R99" s="551"/>
    </row>
    <row r="100" spans="1:18" s="564" customFormat="1" ht="12.75" thickBot="1">
      <c r="A100" s="618">
        <f>+A99+1</f>
        <v>88</v>
      </c>
      <c r="B100" s="946">
        <v>17</v>
      </c>
      <c r="C100" s="1342" t="s">
        <v>734</v>
      </c>
      <c r="D100" s="1062" t="s">
        <v>735</v>
      </c>
      <c r="E100" s="1341" t="s">
        <v>1225</v>
      </c>
      <c r="F100" s="1347" t="s">
        <v>660</v>
      </c>
      <c r="G100" s="558">
        <f>+H100+M100</f>
        <v>0</v>
      </c>
      <c r="H100" s="559">
        <f>+I100+J100+K100+L100</f>
        <v>0</v>
      </c>
      <c r="I100" s="1360"/>
      <c r="J100" s="1361"/>
      <c r="K100" s="1361"/>
      <c r="L100" s="1362"/>
      <c r="M100" s="559">
        <f>+N100+O100+P100</f>
        <v>0</v>
      </c>
      <c r="N100" s="1360"/>
      <c r="O100" s="1361"/>
      <c r="P100" s="1362"/>
      <c r="Q100" s="551"/>
      <c r="R100" s="551"/>
    </row>
    <row r="101" spans="1:18" s="549" customFormat="1" ht="12.75" thickBot="1">
      <c r="A101" s="614" t="s">
        <v>632</v>
      </c>
      <c r="B101" s="948"/>
      <c r="C101" s="1198" t="s">
        <v>870</v>
      </c>
      <c r="D101" s="1199"/>
      <c r="E101" s="1199"/>
      <c r="F101" s="1200"/>
      <c r="G101" s="566">
        <f>SUM(G98:G100)</f>
        <v>32151</v>
      </c>
      <c r="H101" s="477">
        <f t="shared" ref="H101:P101" si="55">SUM(H98:H100)</f>
        <v>32151</v>
      </c>
      <c r="I101" s="567">
        <f t="shared" si="55"/>
        <v>0</v>
      </c>
      <c r="J101" s="404">
        <f t="shared" si="55"/>
        <v>0</v>
      </c>
      <c r="K101" s="404">
        <f t="shared" si="55"/>
        <v>32151</v>
      </c>
      <c r="L101" s="391">
        <f t="shared" si="55"/>
        <v>0</v>
      </c>
      <c r="M101" s="477">
        <f t="shared" si="55"/>
        <v>0</v>
      </c>
      <c r="N101" s="567">
        <f t="shared" si="55"/>
        <v>0</v>
      </c>
      <c r="O101" s="404">
        <f t="shared" si="55"/>
        <v>0</v>
      </c>
      <c r="P101" s="391">
        <f t="shared" si="55"/>
        <v>0</v>
      </c>
      <c r="Q101" s="551"/>
      <c r="R101" s="551"/>
    </row>
    <row r="102" spans="1:18">
      <c r="A102" s="618">
        <f>+A100+1</f>
        <v>89</v>
      </c>
      <c r="B102" s="945">
        <v>18</v>
      </c>
      <c r="C102" s="1339" t="s">
        <v>741</v>
      </c>
      <c r="D102" s="1066" t="s">
        <v>740</v>
      </c>
      <c r="E102" s="1340" t="s">
        <v>1225</v>
      </c>
      <c r="F102" s="1353" t="s">
        <v>658</v>
      </c>
      <c r="G102" s="540">
        <f t="shared" ref="G102:G108" si="56">+H102+M102</f>
        <v>0</v>
      </c>
      <c r="H102" s="541">
        <f t="shared" ref="H102:H108" si="57">+I102+J102+K102+L102</f>
        <v>0</v>
      </c>
      <c r="I102" s="1357"/>
      <c r="J102" s="1358"/>
      <c r="K102" s="1358"/>
      <c r="L102" s="1359"/>
      <c r="M102" s="541">
        <f t="shared" ref="M102:M108" si="58">+N102+O102+P102</f>
        <v>0</v>
      </c>
      <c r="N102" s="1357"/>
      <c r="O102" s="1358"/>
      <c r="P102" s="1359"/>
      <c r="Q102" s="551"/>
      <c r="R102" s="551"/>
    </row>
    <row r="103" spans="1:18">
      <c r="A103" s="618">
        <f t="shared" ref="A103:A108" si="59">+A102+1</f>
        <v>90</v>
      </c>
      <c r="B103" s="945">
        <v>18</v>
      </c>
      <c r="C103" s="1339" t="s">
        <v>741</v>
      </c>
      <c r="D103" s="1066" t="s">
        <v>740</v>
      </c>
      <c r="E103" s="1340" t="s">
        <v>1225</v>
      </c>
      <c r="F103" s="1353" t="s">
        <v>659</v>
      </c>
      <c r="G103" s="540">
        <f t="shared" si="56"/>
        <v>0</v>
      </c>
      <c r="H103" s="541">
        <f t="shared" si="57"/>
        <v>0</v>
      </c>
      <c r="I103" s="1357"/>
      <c r="J103" s="1358"/>
      <c r="K103" s="1358"/>
      <c r="L103" s="1359"/>
      <c r="M103" s="541">
        <f t="shared" si="58"/>
        <v>0</v>
      </c>
      <c r="N103" s="1357"/>
      <c r="O103" s="1358"/>
      <c r="P103" s="1359"/>
      <c r="Q103" s="551"/>
      <c r="R103" s="551"/>
    </row>
    <row r="104" spans="1:18">
      <c r="A104" s="618">
        <f t="shared" si="59"/>
        <v>91</v>
      </c>
      <c r="B104" s="945">
        <v>18</v>
      </c>
      <c r="C104" s="1339" t="s">
        <v>741</v>
      </c>
      <c r="D104" s="1066" t="s">
        <v>740</v>
      </c>
      <c r="E104" s="1340" t="s">
        <v>1225</v>
      </c>
      <c r="F104" s="1353" t="s">
        <v>738</v>
      </c>
      <c r="G104" s="540">
        <f t="shared" si="56"/>
        <v>0</v>
      </c>
      <c r="H104" s="541">
        <f t="shared" si="57"/>
        <v>0</v>
      </c>
      <c r="I104" s="1357"/>
      <c r="J104" s="1358"/>
      <c r="K104" s="1358"/>
      <c r="L104" s="1359"/>
      <c r="M104" s="541">
        <f t="shared" si="58"/>
        <v>0</v>
      </c>
      <c r="N104" s="1357"/>
      <c r="O104" s="1358"/>
      <c r="P104" s="1359"/>
      <c r="Q104" s="551"/>
      <c r="R104" s="551"/>
    </row>
    <row r="105" spans="1:18">
      <c r="A105" s="618">
        <f t="shared" si="59"/>
        <v>92</v>
      </c>
      <c r="B105" s="945">
        <v>18</v>
      </c>
      <c r="C105" s="1339" t="s">
        <v>741</v>
      </c>
      <c r="D105" s="1066" t="s">
        <v>740</v>
      </c>
      <c r="E105" s="1340" t="s">
        <v>1225</v>
      </c>
      <c r="F105" s="1353" t="s">
        <v>739</v>
      </c>
      <c r="G105" s="540">
        <f t="shared" si="56"/>
        <v>0</v>
      </c>
      <c r="H105" s="541">
        <f t="shared" si="57"/>
        <v>0</v>
      </c>
      <c r="I105" s="1357"/>
      <c r="J105" s="1358"/>
      <c r="K105" s="1358"/>
      <c r="L105" s="1359"/>
      <c r="M105" s="541">
        <f t="shared" si="58"/>
        <v>0</v>
      </c>
      <c r="N105" s="1357"/>
      <c r="O105" s="1358"/>
      <c r="P105" s="1359"/>
      <c r="Q105" s="551"/>
      <c r="R105" s="551"/>
    </row>
    <row r="106" spans="1:18">
      <c r="A106" s="618">
        <f t="shared" si="59"/>
        <v>93</v>
      </c>
      <c r="B106" s="945">
        <v>18</v>
      </c>
      <c r="C106" s="1339" t="s">
        <v>673</v>
      </c>
      <c r="D106" s="1066" t="s">
        <v>672</v>
      </c>
      <c r="E106" s="1340" t="s">
        <v>1225</v>
      </c>
      <c r="F106" s="1353" t="s">
        <v>636</v>
      </c>
      <c r="G106" s="540">
        <f t="shared" si="56"/>
        <v>0</v>
      </c>
      <c r="H106" s="541">
        <f t="shared" si="57"/>
        <v>0</v>
      </c>
      <c r="I106" s="1357"/>
      <c r="J106" s="1358"/>
      <c r="K106" s="1358"/>
      <c r="L106" s="1359"/>
      <c r="M106" s="541">
        <f t="shared" si="58"/>
        <v>0</v>
      </c>
      <c r="N106" s="1357"/>
      <c r="O106" s="1358"/>
      <c r="P106" s="1359"/>
      <c r="Q106" s="551"/>
      <c r="R106" s="551"/>
    </row>
    <row r="107" spans="1:18">
      <c r="A107" s="618">
        <f t="shared" si="59"/>
        <v>94</v>
      </c>
      <c r="B107" s="945">
        <v>18</v>
      </c>
      <c r="C107" s="1339" t="s">
        <v>996</v>
      </c>
      <c r="D107" s="1066" t="s">
        <v>997</v>
      </c>
      <c r="E107" s="1340" t="s">
        <v>1225</v>
      </c>
      <c r="F107" s="1353" t="s">
        <v>998</v>
      </c>
      <c r="G107" s="540">
        <f t="shared" si="56"/>
        <v>0</v>
      </c>
      <c r="H107" s="541">
        <f t="shared" si="57"/>
        <v>0</v>
      </c>
      <c r="I107" s="1357"/>
      <c r="J107" s="1358"/>
      <c r="K107" s="1358"/>
      <c r="L107" s="1359"/>
      <c r="M107" s="541">
        <f t="shared" si="58"/>
        <v>0</v>
      </c>
      <c r="N107" s="1357"/>
      <c r="O107" s="1358"/>
      <c r="P107" s="1359"/>
      <c r="Q107" s="551"/>
      <c r="R107" s="551"/>
    </row>
    <row r="108" spans="1:18" ht="12.75" thickBot="1">
      <c r="A108" s="618">
        <f t="shared" si="59"/>
        <v>95</v>
      </c>
      <c r="B108" s="945">
        <v>18</v>
      </c>
      <c r="C108" s="1339" t="s">
        <v>1006</v>
      </c>
      <c r="D108" s="1066" t="s">
        <v>1005</v>
      </c>
      <c r="E108" s="1340" t="s">
        <v>1225</v>
      </c>
      <c r="F108" s="1353" t="s">
        <v>998</v>
      </c>
      <c r="G108" s="540">
        <f t="shared" si="56"/>
        <v>0</v>
      </c>
      <c r="H108" s="541">
        <f t="shared" si="57"/>
        <v>0</v>
      </c>
      <c r="I108" s="1357"/>
      <c r="J108" s="1358"/>
      <c r="K108" s="1358"/>
      <c r="L108" s="1359"/>
      <c r="M108" s="541">
        <f t="shared" si="58"/>
        <v>0</v>
      </c>
      <c r="N108" s="1357"/>
      <c r="O108" s="1358"/>
      <c r="P108" s="1359"/>
      <c r="Q108" s="551"/>
      <c r="R108" s="551"/>
    </row>
    <row r="109" spans="1:18" s="549" customFormat="1" ht="12.75" thickBot="1">
      <c r="A109" s="614" t="s">
        <v>746</v>
      </c>
      <c r="B109" s="948"/>
      <c r="C109" s="1198" t="s">
        <v>871</v>
      </c>
      <c r="D109" s="1199"/>
      <c r="E109" s="1199"/>
      <c r="F109" s="1200"/>
      <c r="G109" s="566">
        <f>SUM(G102:G108)</f>
        <v>0</v>
      </c>
      <c r="H109" s="477">
        <f t="shared" ref="H109:P109" si="60">SUM(H102:H108)</f>
        <v>0</v>
      </c>
      <c r="I109" s="567">
        <f t="shared" si="60"/>
        <v>0</v>
      </c>
      <c r="J109" s="404">
        <f t="shared" si="60"/>
        <v>0</v>
      </c>
      <c r="K109" s="404">
        <f t="shared" si="60"/>
        <v>0</v>
      </c>
      <c r="L109" s="391">
        <f t="shared" si="60"/>
        <v>0</v>
      </c>
      <c r="M109" s="477">
        <f t="shared" si="60"/>
        <v>0</v>
      </c>
      <c r="N109" s="567">
        <f t="shared" si="60"/>
        <v>0</v>
      </c>
      <c r="O109" s="404">
        <f t="shared" si="60"/>
        <v>0</v>
      </c>
      <c r="P109" s="391">
        <f t="shared" si="60"/>
        <v>0</v>
      </c>
      <c r="Q109" s="551"/>
      <c r="R109" s="551"/>
    </row>
    <row r="110" spans="1:18" s="549" customFormat="1" ht="12.75" thickBot="1">
      <c r="A110" s="615" t="s">
        <v>22</v>
      </c>
      <c r="B110" s="949"/>
      <c r="C110" s="1195" t="s">
        <v>872</v>
      </c>
      <c r="D110" s="1196"/>
      <c r="E110" s="1196"/>
      <c r="F110" s="1197"/>
      <c r="G110" s="569">
        <f t="shared" ref="G110:P110" si="61">+G97+G101+G109</f>
        <v>41459</v>
      </c>
      <c r="H110" s="579">
        <f t="shared" si="61"/>
        <v>41459</v>
      </c>
      <c r="I110" s="570">
        <f t="shared" si="61"/>
        <v>0</v>
      </c>
      <c r="J110" s="571">
        <f t="shared" si="61"/>
        <v>0</v>
      </c>
      <c r="K110" s="571">
        <f t="shared" si="61"/>
        <v>41459</v>
      </c>
      <c r="L110" s="572">
        <f t="shared" si="61"/>
        <v>0</v>
      </c>
      <c r="M110" s="579">
        <f t="shared" si="61"/>
        <v>0</v>
      </c>
      <c r="N110" s="570">
        <f t="shared" si="61"/>
        <v>0</v>
      </c>
      <c r="O110" s="571">
        <f t="shared" si="61"/>
        <v>0</v>
      </c>
      <c r="P110" s="572">
        <f t="shared" si="61"/>
        <v>0</v>
      </c>
      <c r="Q110" s="551"/>
      <c r="R110" s="551"/>
    </row>
    <row r="111" spans="1:18" s="549" customFormat="1" ht="12.75" thickBot="1">
      <c r="A111" s="614"/>
      <c r="B111" s="952"/>
      <c r="C111" s="1042"/>
      <c r="D111" s="613"/>
      <c r="E111" s="1037"/>
      <c r="F111" s="565"/>
      <c r="G111" s="566"/>
      <c r="H111" s="477"/>
      <c r="I111" s="567"/>
      <c r="J111" s="404"/>
      <c r="K111" s="404"/>
      <c r="L111" s="391"/>
      <c r="M111" s="477"/>
      <c r="N111" s="567"/>
      <c r="O111" s="404"/>
      <c r="P111" s="391"/>
      <c r="Q111" s="551"/>
      <c r="R111" s="551"/>
    </row>
    <row r="112" spans="1:18">
      <c r="A112" s="618">
        <f>+A108+1</f>
        <v>96</v>
      </c>
      <c r="B112" s="945">
        <v>19</v>
      </c>
      <c r="C112" s="1339" t="s">
        <v>1076</v>
      </c>
      <c r="D112" s="1066" t="s">
        <v>1077</v>
      </c>
      <c r="E112" s="1340" t="s">
        <v>1225</v>
      </c>
      <c r="F112" s="1353" t="s">
        <v>1078</v>
      </c>
      <c r="G112" s="540">
        <f t="shared" ref="G112:G117" si="62">+H112+M112</f>
        <v>0</v>
      </c>
      <c r="H112" s="541">
        <f t="shared" ref="H112:H117" si="63">+I112+J112+K112+L112</f>
        <v>0</v>
      </c>
      <c r="I112" s="1357"/>
      <c r="J112" s="1358"/>
      <c r="K112" s="1358"/>
      <c r="L112" s="1359"/>
      <c r="M112" s="541">
        <f t="shared" ref="M112:M117" si="64">+N112+O112+P112</f>
        <v>0</v>
      </c>
      <c r="N112" s="1357"/>
      <c r="O112" s="1358"/>
      <c r="P112" s="1359"/>
      <c r="Q112" s="551"/>
      <c r="R112" s="551"/>
    </row>
    <row r="113" spans="1:18">
      <c r="A113" s="618">
        <f>+A112+1</f>
        <v>97</v>
      </c>
      <c r="B113" s="945">
        <v>20</v>
      </c>
      <c r="C113" s="1339" t="s">
        <v>1079</v>
      </c>
      <c r="D113" s="1066" t="s">
        <v>1080</v>
      </c>
      <c r="E113" s="1340" t="s">
        <v>1239</v>
      </c>
      <c r="F113" s="1353" t="s">
        <v>1085</v>
      </c>
      <c r="G113" s="540">
        <f t="shared" si="62"/>
        <v>10362</v>
      </c>
      <c r="H113" s="541">
        <f t="shared" si="63"/>
        <v>10362</v>
      </c>
      <c r="I113" s="1357"/>
      <c r="J113" s="1358"/>
      <c r="K113" s="1358">
        <v>10362</v>
      </c>
      <c r="L113" s="1359"/>
      <c r="M113" s="541">
        <f t="shared" si="64"/>
        <v>0</v>
      </c>
      <c r="N113" s="1357"/>
      <c r="O113" s="1358"/>
      <c r="P113" s="1359"/>
      <c r="Q113" s="551"/>
      <c r="R113" s="551"/>
    </row>
    <row r="114" spans="1:18">
      <c r="A114" s="618">
        <f>+A113+1</f>
        <v>98</v>
      </c>
      <c r="B114" s="945">
        <v>20</v>
      </c>
      <c r="C114" s="1339" t="s">
        <v>1079</v>
      </c>
      <c r="D114" s="1066" t="s">
        <v>1080</v>
      </c>
      <c r="E114" s="1340" t="s">
        <v>1240</v>
      </c>
      <c r="F114" s="1353" t="s">
        <v>1086</v>
      </c>
      <c r="G114" s="540">
        <f t="shared" si="62"/>
        <v>11035</v>
      </c>
      <c r="H114" s="541">
        <f t="shared" si="63"/>
        <v>11035</v>
      </c>
      <c r="I114" s="1357"/>
      <c r="J114" s="1358"/>
      <c r="K114" s="1358">
        <v>11035</v>
      </c>
      <c r="L114" s="1359"/>
      <c r="M114" s="541">
        <f t="shared" si="64"/>
        <v>0</v>
      </c>
      <c r="N114" s="1357"/>
      <c r="O114" s="1358"/>
      <c r="P114" s="1359"/>
      <c r="Q114" s="551"/>
      <c r="R114" s="551"/>
    </row>
    <row r="115" spans="1:18">
      <c r="A115" s="618">
        <f t="shared" ref="A115:A117" si="65">+A114+1</f>
        <v>99</v>
      </c>
      <c r="B115" s="945">
        <v>21</v>
      </c>
      <c r="C115" s="1339" t="s">
        <v>1081</v>
      </c>
      <c r="D115" s="1066" t="s">
        <v>1171</v>
      </c>
      <c r="E115" s="1340" t="s">
        <v>1241</v>
      </c>
      <c r="F115" s="1353" t="s">
        <v>573</v>
      </c>
      <c r="G115" s="540">
        <f t="shared" si="62"/>
        <v>0</v>
      </c>
      <c r="H115" s="541">
        <f t="shared" si="63"/>
        <v>0</v>
      </c>
      <c r="I115" s="1357"/>
      <c r="J115" s="1358"/>
      <c r="K115" s="1358"/>
      <c r="L115" s="1359"/>
      <c r="M115" s="541">
        <f t="shared" si="64"/>
        <v>0</v>
      </c>
      <c r="N115" s="1357"/>
      <c r="O115" s="1358"/>
      <c r="P115" s="1359"/>
      <c r="Q115" s="551"/>
      <c r="R115" s="551"/>
    </row>
    <row r="116" spans="1:18">
      <c r="A116" s="618">
        <f t="shared" si="65"/>
        <v>100</v>
      </c>
      <c r="B116" s="945">
        <v>20</v>
      </c>
      <c r="C116" s="1339" t="s">
        <v>1082</v>
      </c>
      <c r="D116" s="1066" t="s">
        <v>1083</v>
      </c>
      <c r="E116" s="1340" t="s">
        <v>1242</v>
      </c>
      <c r="F116" s="1353" t="s">
        <v>1084</v>
      </c>
      <c r="G116" s="540">
        <f t="shared" si="62"/>
        <v>174</v>
      </c>
      <c r="H116" s="541">
        <f t="shared" si="63"/>
        <v>174</v>
      </c>
      <c r="I116" s="1357"/>
      <c r="J116" s="1358"/>
      <c r="K116" s="1358">
        <v>174</v>
      </c>
      <c r="L116" s="1359"/>
      <c r="M116" s="541">
        <f t="shared" si="64"/>
        <v>0</v>
      </c>
      <c r="N116" s="1357"/>
      <c r="O116" s="1358"/>
      <c r="P116" s="1359"/>
      <c r="Q116" s="551"/>
      <c r="R116" s="551"/>
    </row>
    <row r="117" spans="1:18" ht="12.75" thickBot="1">
      <c r="A117" s="618">
        <f t="shared" si="65"/>
        <v>101</v>
      </c>
      <c r="B117" s="945">
        <v>19</v>
      </c>
      <c r="C117" s="1339" t="s">
        <v>1002</v>
      </c>
      <c r="D117" s="1066" t="s">
        <v>1003</v>
      </c>
      <c r="E117" s="1340" t="s">
        <v>1225</v>
      </c>
      <c r="F117" s="1353" t="s">
        <v>1078</v>
      </c>
      <c r="G117" s="540">
        <f t="shared" si="62"/>
        <v>0</v>
      </c>
      <c r="H117" s="541">
        <f t="shared" si="63"/>
        <v>0</v>
      </c>
      <c r="I117" s="1357"/>
      <c r="J117" s="1358"/>
      <c r="K117" s="1358"/>
      <c r="L117" s="1359"/>
      <c r="M117" s="541">
        <f t="shared" si="64"/>
        <v>0</v>
      </c>
      <c r="N117" s="1357"/>
      <c r="O117" s="1358"/>
      <c r="P117" s="1359"/>
      <c r="Q117" s="551"/>
      <c r="R117" s="551"/>
    </row>
    <row r="118" spans="1:18" s="549" customFormat="1" ht="12.75" thickBot="1">
      <c r="A118" s="614" t="s">
        <v>747</v>
      </c>
      <c r="B118" s="948"/>
      <c r="C118" s="1204" t="s">
        <v>417</v>
      </c>
      <c r="D118" s="1205"/>
      <c r="E118" s="1205"/>
      <c r="F118" s="1206"/>
      <c r="G118" s="566">
        <f>SUM(G112:G117)</f>
        <v>21571</v>
      </c>
      <c r="H118" s="477">
        <f t="shared" ref="H118:P118" si="66">SUM(H112:H117)</f>
        <v>21571</v>
      </c>
      <c r="I118" s="567">
        <f t="shared" si="66"/>
        <v>0</v>
      </c>
      <c r="J118" s="404">
        <f t="shared" si="66"/>
        <v>0</v>
      </c>
      <c r="K118" s="404">
        <f t="shared" si="66"/>
        <v>21571</v>
      </c>
      <c r="L118" s="391">
        <f t="shared" si="66"/>
        <v>0</v>
      </c>
      <c r="M118" s="566">
        <f t="shared" si="66"/>
        <v>0</v>
      </c>
      <c r="N118" s="567">
        <f t="shared" si="66"/>
        <v>0</v>
      </c>
      <c r="O118" s="404">
        <f t="shared" si="66"/>
        <v>0</v>
      </c>
      <c r="P118" s="391">
        <f t="shared" si="66"/>
        <v>0</v>
      </c>
      <c r="Q118" s="551"/>
      <c r="R118" s="551"/>
    </row>
    <row r="119" spans="1:18" s="553" customFormat="1" ht="12.75" customHeight="1" thickBot="1">
      <c r="A119" s="620">
        <f>+A117+1</f>
        <v>102</v>
      </c>
      <c r="B119" s="953">
        <v>22</v>
      </c>
      <c r="C119" s="1043" t="s">
        <v>19</v>
      </c>
      <c r="D119" s="1354" t="s">
        <v>19</v>
      </c>
      <c r="E119" s="1038" t="s">
        <v>19</v>
      </c>
      <c r="F119" s="1354" t="s">
        <v>19</v>
      </c>
      <c r="G119" s="590">
        <f>+H119+M119</f>
        <v>0</v>
      </c>
      <c r="H119" s="485">
        <f>+I119+J119+K119+L119</f>
        <v>0</v>
      </c>
      <c r="I119" s="561"/>
      <c r="J119" s="560"/>
      <c r="K119" s="560"/>
      <c r="L119" s="505"/>
      <c r="M119" s="485">
        <f>+N119+O119+P119</f>
        <v>0</v>
      </c>
      <c r="N119" s="561"/>
      <c r="O119" s="560"/>
      <c r="P119" s="505"/>
      <c r="Q119" s="551"/>
      <c r="R119" s="551"/>
    </row>
    <row r="120" spans="1:18" s="549" customFormat="1" ht="12.75" thickBot="1">
      <c r="A120" s="976" t="s">
        <v>748</v>
      </c>
      <c r="B120" s="948"/>
      <c r="C120" s="1204" t="s">
        <v>418</v>
      </c>
      <c r="D120" s="1205"/>
      <c r="E120" s="1205"/>
      <c r="F120" s="1206"/>
      <c r="G120" s="566">
        <f>SUM(G119)</f>
        <v>0</v>
      </c>
      <c r="H120" s="566">
        <f t="shared" ref="H120:P120" si="67">SUM(H119)</f>
        <v>0</v>
      </c>
      <c r="I120" s="567">
        <f t="shared" si="67"/>
        <v>0</v>
      </c>
      <c r="J120" s="404">
        <f t="shared" si="67"/>
        <v>0</v>
      </c>
      <c r="K120" s="404">
        <f t="shared" si="67"/>
        <v>0</v>
      </c>
      <c r="L120" s="391">
        <f t="shared" si="67"/>
        <v>0</v>
      </c>
      <c r="M120" s="566">
        <f t="shared" si="67"/>
        <v>0</v>
      </c>
      <c r="N120" s="567">
        <f t="shared" si="67"/>
        <v>0</v>
      </c>
      <c r="O120" s="404">
        <f t="shared" si="67"/>
        <v>0</v>
      </c>
      <c r="P120" s="391">
        <f t="shared" si="67"/>
        <v>0</v>
      </c>
      <c r="Q120" s="551"/>
      <c r="R120" s="551"/>
    </row>
    <row r="121" spans="1:18" s="553" customFormat="1" ht="12.75" customHeight="1" thickBot="1">
      <c r="A121" s="620">
        <f>+A119+1</f>
        <v>103</v>
      </c>
      <c r="B121" s="953">
        <v>23</v>
      </c>
      <c r="C121" s="1043" t="s">
        <v>19</v>
      </c>
      <c r="D121" s="1354" t="s">
        <v>19</v>
      </c>
      <c r="E121" s="1038" t="s">
        <v>19</v>
      </c>
      <c r="F121" s="1354" t="s">
        <v>19</v>
      </c>
      <c r="G121" s="590">
        <f>+H121+M121</f>
        <v>0</v>
      </c>
      <c r="H121" s="485">
        <f>+I121+J121+K121+L121</f>
        <v>0</v>
      </c>
      <c r="I121" s="561"/>
      <c r="J121" s="560"/>
      <c r="K121" s="560"/>
      <c r="L121" s="505"/>
      <c r="M121" s="485">
        <f>+N121+O121+P121</f>
        <v>0</v>
      </c>
      <c r="N121" s="561"/>
      <c r="O121" s="560"/>
      <c r="P121" s="505"/>
      <c r="Q121" s="551"/>
      <c r="R121" s="551"/>
    </row>
    <row r="122" spans="1:18" s="549" customFormat="1" ht="12.75" thickBot="1">
      <c r="A122" s="614" t="s">
        <v>749</v>
      </c>
      <c r="B122" s="948"/>
      <c r="C122" s="1204" t="s">
        <v>766</v>
      </c>
      <c r="D122" s="1205"/>
      <c r="E122" s="1205"/>
      <c r="F122" s="1206"/>
      <c r="G122" s="566">
        <f>SUM(G121)</f>
        <v>0</v>
      </c>
      <c r="H122" s="477">
        <f t="shared" ref="H122:P122" si="68">SUM(H121)</f>
        <v>0</v>
      </c>
      <c r="I122" s="567">
        <f t="shared" si="68"/>
        <v>0</v>
      </c>
      <c r="J122" s="404">
        <f t="shared" si="68"/>
        <v>0</v>
      </c>
      <c r="K122" s="404">
        <f t="shared" si="68"/>
        <v>0</v>
      </c>
      <c r="L122" s="391">
        <f t="shared" si="68"/>
        <v>0</v>
      </c>
      <c r="M122" s="477">
        <f t="shared" si="68"/>
        <v>0</v>
      </c>
      <c r="N122" s="567">
        <f t="shared" si="68"/>
        <v>0</v>
      </c>
      <c r="O122" s="404">
        <f t="shared" si="68"/>
        <v>0</v>
      </c>
      <c r="P122" s="391">
        <f t="shared" si="68"/>
        <v>0</v>
      </c>
      <c r="Q122" s="551"/>
      <c r="R122" s="551"/>
    </row>
    <row r="123" spans="1:18" s="549" customFormat="1" ht="12.75" thickBot="1">
      <c r="A123" s="615" t="s">
        <v>21</v>
      </c>
      <c r="B123" s="949"/>
      <c r="C123" s="1201" t="s">
        <v>419</v>
      </c>
      <c r="D123" s="1202"/>
      <c r="E123" s="1202"/>
      <c r="F123" s="1203"/>
      <c r="G123" s="569">
        <f>+G118+G120+G122</f>
        <v>21571</v>
      </c>
      <c r="H123" s="572">
        <f t="shared" ref="H123:P123" si="69">+H118+H120+H122</f>
        <v>21571</v>
      </c>
      <c r="I123" s="586">
        <f t="shared" si="69"/>
        <v>0</v>
      </c>
      <c r="J123" s="587">
        <f t="shared" si="69"/>
        <v>0</v>
      </c>
      <c r="K123" s="587">
        <f t="shared" si="69"/>
        <v>21571</v>
      </c>
      <c r="L123" s="588">
        <f t="shared" si="69"/>
        <v>0</v>
      </c>
      <c r="M123" s="572">
        <f t="shared" si="69"/>
        <v>0</v>
      </c>
      <c r="N123" s="586">
        <f t="shared" si="69"/>
        <v>0</v>
      </c>
      <c r="O123" s="587">
        <f t="shared" si="69"/>
        <v>0</v>
      </c>
      <c r="P123" s="588">
        <f t="shared" si="69"/>
        <v>0</v>
      </c>
      <c r="Q123" s="551"/>
      <c r="R123" s="551"/>
    </row>
    <row r="124" spans="1:18" s="549" customFormat="1" ht="12.75" thickBot="1">
      <c r="A124" s="614"/>
      <c r="B124" s="952"/>
      <c r="C124" s="1042"/>
      <c r="D124" s="613"/>
      <c r="E124" s="1037"/>
      <c r="F124" s="565"/>
      <c r="G124" s="566"/>
      <c r="H124" s="477"/>
      <c r="I124" s="567"/>
      <c r="J124" s="404"/>
      <c r="K124" s="404"/>
      <c r="L124" s="391"/>
      <c r="M124" s="477"/>
      <c r="N124" s="567"/>
      <c r="O124" s="404"/>
      <c r="P124" s="391"/>
      <c r="Q124" s="551"/>
      <c r="R124" s="551"/>
    </row>
    <row r="125" spans="1:18">
      <c r="A125" s="618">
        <f>+A121+1</f>
        <v>104</v>
      </c>
      <c r="B125" s="945">
        <v>24</v>
      </c>
      <c r="C125" s="1339" t="s">
        <v>1087</v>
      </c>
      <c r="D125" s="1066" t="s">
        <v>1088</v>
      </c>
      <c r="E125" s="1340" t="s">
        <v>1225</v>
      </c>
      <c r="F125" s="1353" t="s">
        <v>1088</v>
      </c>
      <c r="G125" s="540">
        <f>+H125+M125</f>
        <v>0</v>
      </c>
      <c r="H125" s="541">
        <f>+I125+J125+K125+L125</f>
        <v>0</v>
      </c>
      <c r="I125" s="1357"/>
      <c r="J125" s="1358"/>
      <c r="K125" s="1358"/>
      <c r="L125" s="1359"/>
      <c r="M125" s="541">
        <f>+N125+O125+P125</f>
        <v>0</v>
      </c>
      <c r="N125" s="1357"/>
      <c r="O125" s="1358"/>
      <c r="P125" s="1359"/>
      <c r="Q125" s="551"/>
      <c r="R125" s="551"/>
    </row>
    <row r="126" spans="1:18">
      <c r="A126" s="618">
        <f>+A125+1</f>
        <v>105</v>
      </c>
      <c r="B126" s="945">
        <v>25</v>
      </c>
      <c r="C126" s="1339" t="s">
        <v>1090</v>
      </c>
      <c r="D126" s="1066" t="s">
        <v>1089</v>
      </c>
      <c r="E126" s="1340" t="s">
        <v>1225</v>
      </c>
      <c r="F126" s="1353" t="s">
        <v>1089</v>
      </c>
      <c r="G126" s="540">
        <f>+H126+M126</f>
        <v>500</v>
      </c>
      <c r="H126" s="541">
        <f>+I126+J126+K126+L126</f>
        <v>500</v>
      </c>
      <c r="I126" s="1357"/>
      <c r="J126" s="1358"/>
      <c r="K126" s="1358">
        <v>500</v>
      </c>
      <c r="L126" s="1359"/>
      <c r="M126" s="541">
        <f>+N126+O126+P126</f>
        <v>0</v>
      </c>
      <c r="N126" s="1357"/>
      <c r="O126" s="1358"/>
      <c r="P126" s="1359"/>
      <c r="Q126" s="551"/>
      <c r="R126" s="551"/>
    </row>
    <row r="127" spans="1:18">
      <c r="A127" s="618">
        <f t="shared" ref="A127:A129" si="70">+A126+1</f>
        <v>106</v>
      </c>
      <c r="B127" s="945">
        <v>26</v>
      </c>
      <c r="C127" s="1339" t="s">
        <v>1092</v>
      </c>
      <c r="D127" s="1066" t="s">
        <v>1091</v>
      </c>
      <c r="E127" s="1340" t="s">
        <v>1243</v>
      </c>
      <c r="F127" s="1353" t="s">
        <v>1095</v>
      </c>
      <c r="G127" s="540">
        <f>+H127+M127</f>
        <v>100</v>
      </c>
      <c r="H127" s="541">
        <f>+I127+J127+K127+L127</f>
        <v>100</v>
      </c>
      <c r="I127" s="1357"/>
      <c r="J127" s="1358"/>
      <c r="K127" s="1358">
        <v>100</v>
      </c>
      <c r="L127" s="1359"/>
      <c r="M127" s="541">
        <f>+N127+O127+P127</f>
        <v>0</v>
      </c>
      <c r="N127" s="1357"/>
      <c r="O127" s="1358"/>
      <c r="P127" s="1359"/>
      <c r="Q127" s="551"/>
      <c r="R127" s="551"/>
    </row>
    <row r="128" spans="1:18">
      <c r="A128" s="618">
        <f t="shared" si="70"/>
        <v>107</v>
      </c>
      <c r="B128" s="945">
        <v>25</v>
      </c>
      <c r="C128" s="1339" t="s">
        <v>1093</v>
      </c>
      <c r="D128" s="1066" t="s">
        <v>1094</v>
      </c>
      <c r="E128" s="1340" t="s">
        <v>1244</v>
      </c>
      <c r="F128" s="1353" t="s">
        <v>1096</v>
      </c>
      <c r="G128" s="540">
        <f>+H128+M128</f>
        <v>0</v>
      </c>
      <c r="H128" s="541">
        <f>+I128+J128+K128+L128</f>
        <v>0</v>
      </c>
      <c r="I128" s="1357"/>
      <c r="J128" s="1358"/>
      <c r="K128" s="1358"/>
      <c r="L128" s="1359"/>
      <c r="M128" s="541">
        <f>+N128+O128+P128</f>
        <v>0</v>
      </c>
      <c r="N128" s="1357"/>
      <c r="O128" s="1358"/>
      <c r="P128" s="1359"/>
      <c r="Q128" s="551"/>
      <c r="R128" s="551"/>
    </row>
    <row r="129" spans="1:18" ht="12.75" thickBot="1">
      <c r="A129" s="618">
        <f t="shared" si="70"/>
        <v>108</v>
      </c>
      <c r="B129" s="945">
        <v>25</v>
      </c>
      <c r="C129" s="1339" t="s">
        <v>1002</v>
      </c>
      <c r="D129" s="1066" t="s">
        <v>1003</v>
      </c>
      <c r="E129" s="1340" t="s">
        <v>1225</v>
      </c>
      <c r="F129" s="1353" t="s">
        <v>1089</v>
      </c>
      <c r="G129" s="540">
        <f>+H129+M129</f>
        <v>0</v>
      </c>
      <c r="H129" s="541">
        <f>+I129+J129+K129+L129</f>
        <v>0</v>
      </c>
      <c r="I129" s="1357"/>
      <c r="J129" s="1358"/>
      <c r="K129" s="1358"/>
      <c r="L129" s="1359"/>
      <c r="M129" s="541">
        <f>+N129+O129+P129</f>
        <v>0</v>
      </c>
      <c r="N129" s="1357"/>
      <c r="O129" s="1358"/>
      <c r="P129" s="1359"/>
      <c r="Q129" s="551"/>
      <c r="R129" s="551"/>
    </row>
    <row r="130" spans="1:18" s="549" customFormat="1" ht="12.75" thickBot="1">
      <c r="A130" s="614" t="s">
        <v>750</v>
      </c>
      <c r="B130" s="948"/>
      <c r="C130" s="1204" t="s">
        <v>420</v>
      </c>
      <c r="D130" s="1205"/>
      <c r="E130" s="1205"/>
      <c r="F130" s="1206"/>
      <c r="G130" s="566">
        <f>SUM(G125:G129)</f>
        <v>600</v>
      </c>
      <c r="H130" s="477">
        <f t="shared" ref="H130:P130" si="71">SUM(H125:H129)</f>
        <v>600</v>
      </c>
      <c r="I130" s="567">
        <f t="shared" si="71"/>
        <v>0</v>
      </c>
      <c r="J130" s="404">
        <f t="shared" si="71"/>
        <v>0</v>
      </c>
      <c r="K130" s="404">
        <f t="shared" si="71"/>
        <v>600</v>
      </c>
      <c r="L130" s="391">
        <f t="shared" si="71"/>
        <v>0</v>
      </c>
      <c r="M130" s="566">
        <f t="shared" si="71"/>
        <v>0</v>
      </c>
      <c r="N130" s="567">
        <f t="shared" si="71"/>
        <v>0</v>
      </c>
      <c r="O130" s="404">
        <f t="shared" si="71"/>
        <v>0</v>
      </c>
      <c r="P130" s="391">
        <f t="shared" si="71"/>
        <v>0</v>
      </c>
      <c r="Q130" s="551"/>
      <c r="R130" s="551"/>
    </row>
    <row r="131" spans="1:18" s="553" customFormat="1" ht="12.75" customHeight="1" thickBot="1">
      <c r="A131" s="620">
        <f>A129+1</f>
        <v>109</v>
      </c>
      <c r="B131" s="953">
        <v>27</v>
      </c>
      <c r="C131" s="1043" t="s">
        <v>19</v>
      </c>
      <c r="D131" s="611" t="s">
        <v>19</v>
      </c>
      <c r="E131" s="1038" t="s">
        <v>19</v>
      </c>
      <c r="F131" s="1355" t="s">
        <v>19</v>
      </c>
      <c r="G131" s="590">
        <f>+H131+M131</f>
        <v>0</v>
      </c>
      <c r="H131" s="485">
        <f>+I131+J131+K131+L131</f>
        <v>0</v>
      </c>
      <c r="I131" s="561"/>
      <c r="J131" s="560"/>
      <c r="K131" s="560"/>
      <c r="L131" s="505"/>
      <c r="M131" s="485">
        <f>+N131+O131+P131</f>
        <v>0</v>
      </c>
      <c r="N131" s="561"/>
      <c r="O131" s="560"/>
      <c r="P131" s="505"/>
      <c r="Q131" s="551"/>
      <c r="R131" s="551"/>
    </row>
    <row r="132" spans="1:18" s="549" customFormat="1" ht="12.75" thickBot="1">
      <c r="A132" s="614" t="s">
        <v>633</v>
      </c>
      <c r="B132" s="948"/>
      <c r="C132" s="1204" t="s">
        <v>752</v>
      </c>
      <c r="D132" s="1205"/>
      <c r="E132" s="1205"/>
      <c r="F132" s="1206"/>
      <c r="G132" s="566">
        <f>SUM(G131)</f>
        <v>0</v>
      </c>
      <c r="H132" s="477">
        <f t="shared" ref="H132:P134" si="72">SUM(H131)</f>
        <v>0</v>
      </c>
      <c r="I132" s="567">
        <f t="shared" si="72"/>
        <v>0</v>
      </c>
      <c r="J132" s="404">
        <f t="shared" si="72"/>
        <v>0</v>
      </c>
      <c r="K132" s="404">
        <f t="shared" si="72"/>
        <v>0</v>
      </c>
      <c r="L132" s="391">
        <f t="shared" si="72"/>
        <v>0</v>
      </c>
      <c r="M132" s="566">
        <f t="shared" si="72"/>
        <v>0</v>
      </c>
      <c r="N132" s="567">
        <f t="shared" si="72"/>
        <v>0</v>
      </c>
      <c r="O132" s="404">
        <f t="shared" si="72"/>
        <v>0</v>
      </c>
      <c r="P132" s="391">
        <f t="shared" si="72"/>
        <v>0</v>
      </c>
      <c r="Q132" s="551"/>
      <c r="R132" s="551"/>
    </row>
    <row r="133" spans="1:18" s="553" customFormat="1" ht="12.75" customHeight="1" thickBot="1">
      <c r="A133" s="620">
        <f>+A131+1</f>
        <v>110</v>
      </c>
      <c r="B133" s="953">
        <v>28</v>
      </c>
      <c r="C133" s="1043" t="s">
        <v>19</v>
      </c>
      <c r="D133" s="611" t="s">
        <v>19</v>
      </c>
      <c r="E133" s="1038" t="s">
        <v>19</v>
      </c>
      <c r="F133" s="1355" t="s">
        <v>19</v>
      </c>
      <c r="G133" s="590">
        <f>+H133+M133</f>
        <v>0</v>
      </c>
      <c r="H133" s="485">
        <f>+I133+J133+K133+L133</f>
        <v>0</v>
      </c>
      <c r="I133" s="561"/>
      <c r="J133" s="560"/>
      <c r="K133" s="560"/>
      <c r="L133" s="505"/>
      <c r="M133" s="485">
        <f>+N133+O133+P133</f>
        <v>0</v>
      </c>
      <c r="N133" s="561"/>
      <c r="O133" s="560"/>
      <c r="P133" s="505"/>
      <c r="Q133" s="551"/>
      <c r="R133" s="551"/>
    </row>
    <row r="134" spans="1:18" s="549" customFormat="1" ht="12.75" thickBot="1">
      <c r="A134" s="614" t="s">
        <v>751</v>
      </c>
      <c r="B134" s="948"/>
      <c r="C134" s="1204" t="s">
        <v>767</v>
      </c>
      <c r="D134" s="1205"/>
      <c r="E134" s="1205"/>
      <c r="F134" s="1206"/>
      <c r="G134" s="566">
        <f>SUM(G133)</f>
        <v>0</v>
      </c>
      <c r="H134" s="477">
        <f t="shared" si="72"/>
        <v>0</v>
      </c>
      <c r="I134" s="567">
        <f t="shared" si="72"/>
        <v>0</v>
      </c>
      <c r="J134" s="404">
        <f t="shared" si="72"/>
        <v>0</v>
      </c>
      <c r="K134" s="404">
        <f t="shared" si="72"/>
        <v>0</v>
      </c>
      <c r="L134" s="391">
        <f t="shared" si="72"/>
        <v>0</v>
      </c>
      <c r="M134" s="566">
        <f t="shared" si="72"/>
        <v>0</v>
      </c>
      <c r="N134" s="567">
        <f t="shared" si="72"/>
        <v>0</v>
      </c>
      <c r="O134" s="404">
        <f t="shared" si="72"/>
        <v>0</v>
      </c>
      <c r="P134" s="391">
        <f t="shared" si="72"/>
        <v>0</v>
      </c>
      <c r="Q134" s="551"/>
      <c r="R134" s="551"/>
    </row>
    <row r="135" spans="1:18" s="549" customFormat="1" ht="12.75" thickBot="1">
      <c r="A135" s="615" t="s">
        <v>20</v>
      </c>
      <c r="B135" s="949"/>
      <c r="C135" s="1201" t="s">
        <v>422</v>
      </c>
      <c r="D135" s="1202"/>
      <c r="E135" s="1202"/>
      <c r="F135" s="1203"/>
      <c r="G135" s="569">
        <f>+G130+G132+G134</f>
        <v>600</v>
      </c>
      <c r="H135" s="572">
        <f t="shared" ref="H135:P135" si="73">+H130+H132+H134</f>
        <v>600</v>
      </c>
      <c r="I135" s="586">
        <f t="shared" si="73"/>
        <v>0</v>
      </c>
      <c r="J135" s="587">
        <f t="shared" si="73"/>
        <v>0</v>
      </c>
      <c r="K135" s="587">
        <f t="shared" si="73"/>
        <v>600</v>
      </c>
      <c r="L135" s="588">
        <f t="shared" si="73"/>
        <v>0</v>
      </c>
      <c r="M135" s="572">
        <f t="shared" si="73"/>
        <v>0</v>
      </c>
      <c r="N135" s="586">
        <f t="shared" si="73"/>
        <v>0</v>
      </c>
      <c r="O135" s="587">
        <f t="shared" si="73"/>
        <v>0</v>
      </c>
      <c r="P135" s="588">
        <f t="shared" si="73"/>
        <v>0</v>
      </c>
      <c r="Q135" s="551"/>
      <c r="R135" s="551"/>
    </row>
    <row r="136" spans="1:18" s="549" customFormat="1" ht="12.75" thickBot="1">
      <c r="A136" s="614"/>
      <c r="B136" s="952"/>
      <c r="C136" s="1042"/>
      <c r="D136" s="613"/>
      <c r="E136" s="1037"/>
      <c r="F136" s="565"/>
      <c r="G136" s="566"/>
      <c r="H136" s="477"/>
      <c r="I136" s="567"/>
      <c r="J136" s="404"/>
      <c r="K136" s="404"/>
      <c r="L136" s="391"/>
      <c r="M136" s="477"/>
      <c r="N136" s="567"/>
      <c r="O136" s="404"/>
      <c r="P136" s="391"/>
      <c r="Q136" s="551"/>
      <c r="R136" s="551"/>
    </row>
    <row r="137" spans="1:18" s="553" customFormat="1" ht="12.75" customHeight="1" thickBot="1">
      <c r="A137" s="618">
        <f>A133+1</f>
        <v>111</v>
      </c>
      <c r="B137" s="946">
        <v>29</v>
      </c>
      <c r="C137" s="1339" t="s">
        <v>19</v>
      </c>
      <c r="D137" s="1066" t="s">
        <v>19</v>
      </c>
      <c r="E137" s="1340" t="s">
        <v>19</v>
      </c>
      <c r="F137" s="1353" t="s">
        <v>19</v>
      </c>
      <c r="G137" s="540">
        <f>+H137+M137</f>
        <v>0</v>
      </c>
      <c r="H137" s="541">
        <f>+I137+J137+K137+L137</f>
        <v>0</v>
      </c>
      <c r="I137" s="1357"/>
      <c r="J137" s="1361"/>
      <c r="K137" s="1361"/>
      <c r="L137" s="1362"/>
      <c r="M137" s="541">
        <f>+N137+O137+P137</f>
        <v>0</v>
      </c>
      <c r="N137" s="1360"/>
      <c r="O137" s="1361"/>
      <c r="P137" s="1362"/>
      <c r="Q137" s="551"/>
      <c r="R137" s="551"/>
    </row>
    <row r="138" spans="1:18" s="549" customFormat="1" ht="12.75" thickBot="1">
      <c r="A138" s="614" t="s">
        <v>885</v>
      </c>
      <c r="B138" s="948"/>
      <c r="C138" s="1204" t="s">
        <v>860</v>
      </c>
      <c r="D138" s="1205"/>
      <c r="E138" s="1205"/>
      <c r="F138" s="1206"/>
      <c r="G138" s="566">
        <f>SUM(G137)</f>
        <v>0</v>
      </c>
      <c r="H138" s="477">
        <f t="shared" ref="H138:P138" si="74">SUM(H137)</f>
        <v>0</v>
      </c>
      <c r="I138" s="567">
        <f t="shared" si="74"/>
        <v>0</v>
      </c>
      <c r="J138" s="404">
        <f t="shared" si="74"/>
        <v>0</v>
      </c>
      <c r="K138" s="404">
        <f t="shared" si="74"/>
        <v>0</v>
      </c>
      <c r="L138" s="391">
        <f t="shared" si="74"/>
        <v>0</v>
      </c>
      <c r="M138" s="566">
        <f t="shared" si="74"/>
        <v>0</v>
      </c>
      <c r="N138" s="567">
        <f t="shared" si="74"/>
        <v>0</v>
      </c>
      <c r="O138" s="404">
        <f t="shared" si="74"/>
        <v>0</v>
      </c>
      <c r="P138" s="391">
        <f t="shared" si="74"/>
        <v>0</v>
      </c>
      <c r="Q138" s="551"/>
      <c r="R138" s="551"/>
    </row>
    <row r="139" spans="1:18" s="553" customFormat="1" ht="12.75" customHeight="1">
      <c r="A139" s="1002">
        <f>A137+1</f>
        <v>112</v>
      </c>
      <c r="B139" s="951">
        <v>30</v>
      </c>
      <c r="C139" s="1350" t="s">
        <v>1073</v>
      </c>
      <c r="D139" s="1077" t="s">
        <v>1074</v>
      </c>
      <c r="E139" s="1351" t="s">
        <v>1225</v>
      </c>
      <c r="F139" s="1356" t="s">
        <v>1074</v>
      </c>
      <c r="G139" s="538">
        <f>+H139+M139</f>
        <v>20793</v>
      </c>
      <c r="H139" s="539">
        <f>+I139+J139+K139+L139</f>
        <v>20793</v>
      </c>
      <c r="I139" s="1363">
        <v>3240</v>
      </c>
      <c r="J139" s="1364">
        <v>17553</v>
      </c>
      <c r="K139" s="1364"/>
      <c r="L139" s="1365"/>
      <c r="M139" s="539">
        <f>+N139+O139+P139</f>
        <v>0</v>
      </c>
      <c r="N139" s="1363"/>
      <c r="O139" s="1364"/>
      <c r="P139" s="1365"/>
      <c r="Q139" s="551"/>
      <c r="R139" s="551"/>
    </row>
    <row r="140" spans="1:18" s="553" customFormat="1" ht="12.75" customHeight="1" thickBot="1">
      <c r="A140" s="620">
        <f>A139+1</f>
        <v>113</v>
      </c>
      <c r="B140" s="953">
        <v>30</v>
      </c>
      <c r="C140" s="1339" t="s">
        <v>1002</v>
      </c>
      <c r="D140" s="611" t="s">
        <v>1003</v>
      </c>
      <c r="E140" s="1038" t="s">
        <v>1225</v>
      </c>
      <c r="F140" s="1355" t="s">
        <v>1074</v>
      </c>
      <c r="G140" s="590">
        <f>+H140+M140</f>
        <v>0</v>
      </c>
      <c r="H140" s="485">
        <f>+I140+J140+K140+L140</f>
        <v>0</v>
      </c>
      <c r="I140" s="561"/>
      <c r="J140" s="560"/>
      <c r="K140" s="560"/>
      <c r="L140" s="505"/>
      <c r="M140" s="485">
        <f>+N140+O140+P140</f>
        <v>0</v>
      </c>
      <c r="N140" s="561"/>
      <c r="O140" s="560"/>
      <c r="P140" s="505"/>
      <c r="Q140" s="551"/>
      <c r="R140" s="551"/>
    </row>
    <row r="141" spans="1:18" s="549" customFormat="1" ht="12.75" thickBot="1">
      <c r="A141" s="614" t="s">
        <v>886</v>
      </c>
      <c r="B141" s="948"/>
      <c r="C141" s="1204" t="s">
        <v>861</v>
      </c>
      <c r="D141" s="1205"/>
      <c r="E141" s="1205"/>
      <c r="F141" s="1206"/>
      <c r="G141" s="566">
        <f>SUM(G139:G140)</f>
        <v>20793</v>
      </c>
      <c r="H141" s="477">
        <f t="shared" ref="H141:P141" si="75">SUM(H139:H140)</f>
        <v>20793</v>
      </c>
      <c r="I141" s="567">
        <f t="shared" si="75"/>
        <v>3240</v>
      </c>
      <c r="J141" s="404">
        <f t="shared" si="75"/>
        <v>17553</v>
      </c>
      <c r="K141" s="404">
        <f t="shared" si="75"/>
        <v>0</v>
      </c>
      <c r="L141" s="391">
        <f t="shared" si="75"/>
        <v>0</v>
      </c>
      <c r="M141" s="566">
        <f t="shared" si="75"/>
        <v>0</v>
      </c>
      <c r="N141" s="567">
        <f t="shared" si="75"/>
        <v>0</v>
      </c>
      <c r="O141" s="404">
        <f t="shared" si="75"/>
        <v>0</v>
      </c>
      <c r="P141" s="391">
        <f t="shared" si="75"/>
        <v>0</v>
      </c>
      <c r="Q141" s="551"/>
      <c r="R141" s="551"/>
    </row>
    <row r="142" spans="1:18" s="553" customFormat="1" ht="12.75" customHeight="1" thickBot="1">
      <c r="A142" s="620">
        <f>+A140+1</f>
        <v>114</v>
      </c>
      <c r="B142" s="953">
        <v>31</v>
      </c>
      <c r="C142" s="1043" t="s">
        <v>19</v>
      </c>
      <c r="D142" s="611" t="s">
        <v>19</v>
      </c>
      <c r="E142" s="1038" t="s">
        <v>19</v>
      </c>
      <c r="F142" s="1355" t="s">
        <v>19</v>
      </c>
      <c r="G142" s="590">
        <f>+H142+M142</f>
        <v>0</v>
      </c>
      <c r="H142" s="485">
        <f>+I142+J142+K142+L142</f>
        <v>0</v>
      </c>
      <c r="I142" s="561"/>
      <c r="J142" s="560"/>
      <c r="K142" s="560"/>
      <c r="L142" s="505"/>
      <c r="M142" s="485">
        <f>+N142+O142+P142</f>
        <v>0</v>
      </c>
      <c r="N142" s="561"/>
      <c r="O142" s="560"/>
      <c r="P142" s="505"/>
      <c r="Q142" s="551"/>
      <c r="R142" s="551"/>
    </row>
    <row r="143" spans="1:18" s="549" customFormat="1" ht="12.75" thickBot="1">
      <c r="A143" s="614" t="s">
        <v>887</v>
      </c>
      <c r="B143" s="948"/>
      <c r="C143" s="1204" t="s">
        <v>888</v>
      </c>
      <c r="D143" s="1205"/>
      <c r="E143" s="1205"/>
      <c r="F143" s="1206"/>
      <c r="G143" s="566">
        <f>SUM(G142)</f>
        <v>0</v>
      </c>
      <c r="H143" s="477">
        <f t="shared" ref="H143:P143" si="76">SUM(H142)</f>
        <v>0</v>
      </c>
      <c r="I143" s="567">
        <f t="shared" si="76"/>
        <v>0</v>
      </c>
      <c r="J143" s="404">
        <f t="shared" si="76"/>
        <v>0</v>
      </c>
      <c r="K143" s="404">
        <f t="shared" si="76"/>
        <v>0</v>
      </c>
      <c r="L143" s="391">
        <f t="shared" si="76"/>
        <v>0</v>
      </c>
      <c r="M143" s="477">
        <f t="shared" si="76"/>
        <v>0</v>
      </c>
      <c r="N143" s="567">
        <f t="shared" si="76"/>
        <v>0</v>
      </c>
      <c r="O143" s="404">
        <f t="shared" si="76"/>
        <v>0</v>
      </c>
      <c r="P143" s="391">
        <f t="shared" si="76"/>
        <v>0</v>
      </c>
      <c r="Q143" s="551"/>
      <c r="R143" s="551"/>
    </row>
    <row r="144" spans="1:18" s="549" customFormat="1" ht="12.75" thickBot="1">
      <c r="A144" s="615" t="s">
        <v>552</v>
      </c>
      <c r="B144" s="949"/>
      <c r="C144" s="1201" t="s">
        <v>862</v>
      </c>
      <c r="D144" s="1202"/>
      <c r="E144" s="1202"/>
      <c r="F144" s="1203"/>
      <c r="G144" s="569">
        <f>+G138+G141+G143</f>
        <v>20793</v>
      </c>
      <c r="H144" s="572">
        <f t="shared" ref="H144:P144" si="77">+H138+H141+H143</f>
        <v>20793</v>
      </c>
      <c r="I144" s="586">
        <f t="shared" si="77"/>
        <v>3240</v>
      </c>
      <c r="J144" s="587">
        <f t="shared" si="77"/>
        <v>17553</v>
      </c>
      <c r="K144" s="587">
        <f t="shared" si="77"/>
        <v>0</v>
      </c>
      <c r="L144" s="588">
        <f t="shared" si="77"/>
        <v>0</v>
      </c>
      <c r="M144" s="572">
        <f t="shared" si="77"/>
        <v>0</v>
      </c>
      <c r="N144" s="586">
        <f t="shared" si="77"/>
        <v>0</v>
      </c>
      <c r="O144" s="587">
        <f t="shared" si="77"/>
        <v>0</v>
      </c>
      <c r="P144" s="588">
        <f t="shared" si="77"/>
        <v>0</v>
      </c>
      <c r="Q144" s="551"/>
      <c r="R144" s="551"/>
    </row>
    <row r="145" spans="1:18" s="549" customFormat="1" ht="12.75" thickBot="1">
      <c r="A145" s="614"/>
      <c r="B145" s="952"/>
      <c r="C145" s="1042"/>
      <c r="D145" s="613"/>
      <c r="E145" s="1037"/>
      <c r="F145" s="565"/>
      <c r="G145" s="566"/>
      <c r="H145" s="477"/>
      <c r="I145" s="567"/>
      <c r="J145" s="404"/>
      <c r="K145" s="404"/>
      <c r="L145" s="391"/>
      <c r="M145" s="477"/>
      <c r="N145" s="567"/>
      <c r="O145" s="404"/>
      <c r="P145" s="391"/>
      <c r="Q145" s="551"/>
      <c r="R145" s="551"/>
    </row>
    <row r="146" spans="1:18">
      <c r="A146" s="618">
        <f>+A142+1</f>
        <v>115</v>
      </c>
      <c r="B146" s="945">
        <v>32</v>
      </c>
      <c r="C146" s="1339" t="s">
        <v>1023</v>
      </c>
      <c r="D146" s="1066" t="s">
        <v>1024</v>
      </c>
      <c r="E146" s="1340" t="s">
        <v>1245</v>
      </c>
      <c r="F146" s="1353" t="s">
        <v>1025</v>
      </c>
      <c r="G146" s="540">
        <f>+H146+M146</f>
        <v>0</v>
      </c>
      <c r="H146" s="541">
        <f>+I146+J146+K146+L146</f>
        <v>0</v>
      </c>
      <c r="I146" s="1357"/>
      <c r="J146" s="1358"/>
      <c r="K146" s="1358"/>
      <c r="L146" s="1359"/>
      <c r="M146" s="541">
        <f>+N146+O146+P146</f>
        <v>0</v>
      </c>
      <c r="N146" s="1357"/>
      <c r="O146" s="1358"/>
      <c r="P146" s="1359"/>
      <c r="Q146" s="551"/>
      <c r="R146" s="551"/>
    </row>
    <row r="147" spans="1:18">
      <c r="A147" s="618">
        <f>+A146+1</f>
        <v>116</v>
      </c>
      <c r="B147" s="945">
        <v>32</v>
      </c>
      <c r="C147" s="1339" t="s">
        <v>1023</v>
      </c>
      <c r="D147" s="1066" t="s">
        <v>1024</v>
      </c>
      <c r="E147" s="1340" t="s">
        <v>1246</v>
      </c>
      <c r="F147" s="1353" t="s">
        <v>1026</v>
      </c>
      <c r="G147" s="540">
        <f>+H147+M147</f>
        <v>0</v>
      </c>
      <c r="H147" s="541">
        <f>+I147+J147+K147+L147</f>
        <v>0</v>
      </c>
      <c r="I147" s="1357"/>
      <c r="J147" s="1358"/>
      <c r="K147" s="1358"/>
      <c r="L147" s="1359"/>
      <c r="M147" s="541">
        <f>+N147+O147+P147</f>
        <v>0</v>
      </c>
      <c r="N147" s="1357"/>
      <c r="O147" s="1358"/>
      <c r="P147" s="1359"/>
      <c r="Q147" s="551"/>
      <c r="R147" s="551"/>
    </row>
    <row r="148" spans="1:18">
      <c r="A148" s="618">
        <f>+A147+1</f>
        <v>117</v>
      </c>
      <c r="B148" s="945">
        <v>32</v>
      </c>
      <c r="C148" s="1339" t="s">
        <v>1028</v>
      </c>
      <c r="D148" s="1066" t="s">
        <v>1027</v>
      </c>
      <c r="E148" s="1340" t="s">
        <v>1245</v>
      </c>
      <c r="F148" s="1353" t="s">
        <v>1025</v>
      </c>
      <c r="G148" s="540">
        <f>+H148+M148</f>
        <v>0</v>
      </c>
      <c r="H148" s="541">
        <f>+I148+J148+K148+L148</f>
        <v>0</v>
      </c>
      <c r="I148" s="1357"/>
      <c r="J148" s="1358"/>
      <c r="K148" s="1358"/>
      <c r="L148" s="1359"/>
      <c r="M148" s="541">
        <f>+N148+O148+P148</f>
        <v>0</v>
      </c>
      <c r="N148" s="1357"/>
      <c r="O148" s="1358"/>
      <c r="P148" s="1359"/>
      <c r="Q148" s="551"/>
      <c r="R148" s="551"/>
    </row>
    <row r="149" spans="1:18">
      <c r="A149" s="618">
        <f t="shared" ref="A149:A150" si="78">+A148+1</f>
        <v>118</v>
      </c>
      <c r="B149" s="945">
        <v>32</v>
      </c>
      <c r="C149" s="1339" t="s">
        <v>1028</v>
      </c>
      <c r="D149" s="1066" t="s">
        <v>1027</v>
      </c>
      <c r="E149" s="1340" t="s">
        <v>1246</v>
      </c>
      <c r="F149" s="1353" t="s">
        <v>1026</v>
      </c>
      <c r="G149" s="540">
        <f>+H149+M149</f>
        <v>0</v>
      </c>
      <c r="H149" s="541">
        <f>+I149+J149+K149+L149</f>
        <v>0</v>
      </c>
      <c r="I149" s="1357"/>
      <c r="J149" s="1358"/>
      <c r="K149" s="1358"/>
      <c r="L149" s="1359"/>
      <c r="M149" s="541">
        <f>+N149+O149+P149</f>
        <v>0</v>
      </c>
      <c r="N149" s="1357"/>
      <c r="O149" s="1358"/>
      <c r="P149" s="1359"/>
      <c r="Q149" s="551"/>
      <c r="R149" s="551"/>
    </row>
    <row r="150" spans="1:18" ht="12.75" thickBot="1">
      <c r="A150" s="618">
        <f t="shared" si="78"/>
        <v>119</v>
      </c>
      <c r="B150" s="945">
        <v>32</v>
      </c>
      <c r="C150" s="1339" t="s">
        <v>1002</v>
      </c>
      <c r="D150" s="1066" t="s">
        <v>1003</v>
      </c>
      <c r="E150" s="1340" t="s">
        <v>1245</v>
      </c>
      <c r="F150" s="1353" t="s">
        <v>1025</v>
      </c>
      <c r="G150" s="540">
        <f>+H150+M150</f>
        <v>0</v>
      </c>
      <c r="H150" s="541">
        <f>+I150+J150+K150+L150</f>
        <v>0</v>
      </c>
      <c r="I150" s="1357"/>
      <c r="J150" s="1358"/>
      <c r="K150" s="1358"/>
      <c r="L150" s="1359"/>
      <c r="M150" s="541">
        <f>+N150+O150+P150</f>
        <v>0</v>
      </c>
      <c r="N150" s="1357"/>
      <c r="O150" s="1358"/>
      <c r="P150" s="1359"/>
      <c r="Q150" s="551"/>
      <c r="R150" s="551"/>
    </row>
    <row r="151" spans="1:18" s="549" customFormat="1" ht="12.75" thickBot="1">
      <c r="A151" s="614" t="s">
        <v>1141</v>
      </c>
      <c r="B151" s="948"/>
      <c r="C151" s="1204" t="s">
        <v>1098</v>
      </c>
      <c r="D151" s="1205"/>
      <c r="E151" s="1205"/>
      <c r="F151" s="1206"/>
      <c r="G151" s="566">
        <f t="shared" ref="G151:P151" si="79">SUM(G146:G150)</f>
        <v>0</v>
      </c>
      <c r="H151" s="477">
        <f t="shared" si="79"/>
        <v>0</v>
      </c>
      <c r="I151" s="567">
        <f t="shared" si="79"/>
        <v>0</v>
      </c>
      <c r="J151" s="404">
        <f t="shared" si="79"/>
        <v>0</v>
      </c>
      <c r="K151" s="404">
        <f t="shared" si="79"/>
        <v>0</v>
      </c>
      <c r="L151" s="391">
        <f t="shared" si="79"/>
        <v>0</v>
      </c>
      <c r="M151" s="566">
        <f t="shared" si="79"/>
        <v>0</v>
      </c>
      <c r="N151" s="567">
        <f t="shared" si="79"/>
        <v>0</v>
      </c>
      <c r="O151" s="404">
        <f t="shared" si="79"/>
        <v>0</v>
      </c>
      <c r="P151" s="391">
        <f t="shared" si="79"/>
        <v>0</v>
      </c>
      <c r="Q151" s="551"/>
      <c r="R151" s="551"/>
    </row>
    <row r="152" spans="1:18" s="553" customFormat="1" ht="12.75" customHeight="1" thickBot="1">
      <c r="A152" s="620">
        <f>A150+1</f>
        <v>120</v>
      </c>
      <c r="B152" s="953">
        <v>33</v>
      </c>
      <c r="C152" s="1043" t="s">
        <v>19</v>
      </c>
      <c r="D152" s="611" t="s">
        <v>19</v>
      </c>
      <c r="E152" s="1038" t="s">
        <v>19</v>
      </c>
      <c r="F152" s="1355" t="s">
        <v>19</v>
      </c>
      <c r="G152" s="590">
        <f>+H152+M152</f>
        <v>0</v>
      </c>
      <c r="H152" s="485">
        <f>+I152+J152+K152+L152</f>
        <v>0</v>
      </c>
      <c r="I152" s="561"/>
      <c r="J152" s="560"/>
      <c r="K152" s="560"/>
      <c r="L152" s="505"/>
      <c r="M152" s="485">
        <f>+N152+O152+P152</f>
        <v>0</v>
      </c>
      <c r="N152" s="561"/>
      <c r="O152" s="560"/>
      <c r="P152" s="505"/>
      <c r="Q152" s="551"/>
      <c r="R152" s="551"/>
    </row>
    <row r="153" spans="1:18" s="549" customFormat="1" ht="12.75" thickBot="1">
      <c r="A153" s="614" t="s">
        <v>1142</v>
      </c>
      <c r="B153" s="948"/>
      <c r="C153" s="1204" t="s">
        <v>1099</v>
      </c>
      <c r="D153" s="1205"/>
      <c r="E153" s="1205"/>
      <c r="F153" s="1206"/>
      <c r="G153" s="566">
        <f>SUM(G152)</f>
        <v>0</v>
      </c>
      <c r="H153" s="477">
        <f t="shared" ref="H153:P153" si="80">SUM(H152)</f>
        <v>0</v>
      </c>
      <c r="I153" s="567">
        <f t="shared" si="80"/>
        <v>0</v>
      </c>
      <c r="J153" s="404">
        <f t="shared" si="80"/>
        <v>0</v>
      </c>
      <c r="K153" s="404">
        <f t="shared" si="80"/>
        <v>0</v>
      </c>
      <c r="L153" s="391">
        <f t="shared" si="80"/>
        <v>0</v>
      </c>
      <c r="M153" s="566">
        <f t="shared" si="80"/>
        <v>0</v>
      </c>
      <c r="N153" s="567">
        <f t="shared" si="80"/>
        <v>0</v>
      </c>
      <c r="O153" s="404">
        <f t="shared" si="80"/>
        <v>0</v>
      </c>
      <c r="P153" s="391">
        <f t="shared" si="80"/>
        <v>0</v>
      </c>
      <c r="Q153" s="551"/>
      <c r="R153" s="551"/>
    </row>
    <row r="154" spans="1:18" s="553" customFormat="1" ht="12.75" customHeight="1" thickBot="1">
      <c r="A154" s="620">
        <f>+A152+1</f>
        <v>121</v>
      </c>
      <c r="B154" s="953">
        <v>34</v>
      </c>
      <c r="C154" s="1043" t="s">
        <v>19</v>
      </c>
      <c r="D154" s="611" t="s">
        <v>19</v>
      </c>
      <c r="E154" s="1038" t="s">
        <v>19</v>
      </c>
      <c r="F154" s="1355" t="s">
        <v>19</v>
      </c>
      <c r="G154" s="590">
        <f>+H154+M154</f>
        <v>0</v>
      </c>
      <c r="H154" s="485">
        <f>+I154+J154+K154+L154</f>
        <v>0</v>
      </c>
      <c r="I154" s="561"/>
      <c r="J154" s="560"/>
      <c r="K154" s="560"/>
      <c r="L154" s="505"/>
      <c r="M154" s="485">
        <f>+N154+O154+P154</f>
        <v>0</v>
      </c>
      <c r="N154" s="561"/>
      <c r="O154" s="560"/>
      <c r="P154" s="505"/>
      <c r="Q154" s="551"/>
      <c r="R154" s="551"/>
    </row>
    <row r="155" spans="1:18" s="549" customFormat="1" ht="12.75" thickBot="1">
      <c r="A155" s="614" t="s">
        <v>1143</v>
      </c>
      <c r="B155" s="948"/>
      <c r="C155" s="1204" t="s">
        <v>1100</v>
      </c>
      <c r="D155" s="1205"/>
      <c r="E155" s="1205"/>
      <c r="F155" s="1206"/>
      <c r="G155" s="566">
        <f>SUM(G154)</f>
        <v>0</v>
      </c>
      <c r="H155" s="477">
        <f t="shared" ref="H155:P155" si="81">SUM(H154)</f>
        <v>0</v>
      </c>
      <c r="I155" s="567">
        <f t="shared" si="81"/>
        <v>0</v>
      </c>
      <c r="J155" s="404">
        <f t="shared" si="81"/>
        <v>0</v>
      </c>
      <c r="K155" s="404">
        <f t="shared" si="81"/>
        <v>0</v>
      </c>
      <c r="L155" s="391">
        <f t="shared" si="81"/>
        <v>0</v>
      </c>
      <c r="M155" s="566">
        <f t="shared" si="81"/>
        <v>0</v>
      </c>
      <c r="N155" s="567">
        <f t="shared" si="81"/>
        <v>0</v>
      </c>
      <c r="O155" s="404">
        <f t="shared" si="81"/>
        <v>0</v>
      </c>
      <c r="P155" s="391">
        <f t="shared" si="81"/>
        <v>0</v>
      </c>
      <c r="Q155" s="551"/>
      <c r="R155" s="551"/>
    </row>
    <row r="156" spans="1:18" s="549" customFormat="1" ht="12.75" thickBot="1">
      <c r="A156" s="615" t="s">
        <v>42</v>
      </c>
      <c r="B156" s="949"/>
      <c r="C156" s="1201" t="s">
        <v>1101</v>
      </c>
      <c r="D156" s="1202"/>
      <c r="E156" s="1202"/>
      <c r="F156" s="1203"/>
      <c r="G156" s="569">
        <f t="shared" ref="G156:P156" si="82">+G151+G153+G155</f>
        <v>0</v>
      </c>
      <c r="H156" s="572">
        <f t="shared" si="82"/>
        <v>0</v>
      </c>
      <c r="I156" s="586">
        <f t="shared" si="82"/>
        <v>0</v>
      </c>
      <c r="J156" s="587">
        <f t="shared" si="82"/>
        <v>0</v>
      </c>
      <c r="K156" s="587">
        <f t="shared" si="82"/>
        <v>0</v>
      </c>
      <c r="L156" s="588">
        <f t="shared" si="82"/>
        <v>0</v>
      </c>
      <c r="M156" s="572">
        <f t="shared" si="82"/>
        <v>0</v>
      </c>
      <c r="N156" s="586">
        <f t="shared" si="82"/>
        <v>0</v>
      </c>
      <c r="O156" s="587">
        <f t="shared" si="82"/>
        <v>0</v>
      </c>
      <c r="P156" s="588">
        <f t="shared" si="82"/>
        <v>0</v>
      </c>
      <c r="Q156" s="551"/>
      <c r="R156" s="551"/>
    </row>
    <row r="157" spans="1:18" ht="12.75" thickBot="1">
      <c r="A157" s="620"/>
      <c r="B157" s="953"/>
      <c r="C157" s="1043"/>
      <c r="D157" s="611"/>
      <c r="E157" s="1038"/>
      <c r="F157" s="589"/>
      <c r="G157" s="590"/>
      <c r="H157" s="485"/>
      <c r="I157" s="561"/>
      <c r="J157" s="560"/>
      <c r="K157" s="560"/>
      <c r="L157" s="505"/>
      <c r="M157" s="485"/>
      <c r="N157" s="561"/>
      <c r="O157" s="560"/>
      <c r="P157" s="505"/>
      <c r="Q157" s="551"/>
      <c r="R157" s="551"/>
    </row>
    <row r="158" spans="1:18" ht="12.75" thickBot="1">
      <c r="A158" s="615" t="s">
        <v>41</v>
      </c>
      <c r="B158" s="949"/>
      <c r="C158" s="1201" t="s">
        <v>753</v>
      </c>
      <c r="D158" s="1202"/>
      <c r="E158" s="1202"/>
      <c r="F158" s="1203"/>
      <c r="G158" s="591">
        <f>+G90+G110+G123+G135+G144+G156</f>
        <v>1666925</v>
      </c>
      <c r="H158" s="592">
        <f t="shared" ref="H158:P158" si="83">+H90+H110+H123+H135+H144+H156</f>
        <v>1593199</v>
      </c>
      <c r="I158" s="593">
        <f t="shared" si="83"/>
        <v>992226</v>
      </c>
      <c r="J158" s="594">
        <f t="shared" si="83"/>
        <v>414105</v>
      </c>
      <c r="K158" s="594">
        <f t="shared" si="83"/>
        <v>186868</v>
      </c>
      <c r="L158" s="592">
        <f t="shared" si="83"/>
        <v>0</v>
      </c>
      <c r="M158" s="592">
        <f t="shared" si="83"/>
        <v>73726</v>
      </c>
      <c r="N158" s="593">
        <f t="shared" si="83"/>
        <v>32276</v>
      </c>
      <c r="O158" s="594">
        <f t="shared" si="83"/>
        <v>40350</v>
      </c>
      <c r="P158" s="592">
        <f t="shared" si="83"/>
        <v>1100</v>
      </c>
      <c r="Q158" s="551"/>
      <c r="R158" s="551"/>
    </row>
    <row r="159" spans="1:18">
      <c r="Q159" s="551"/>
      <c r="R159" s="551"/>
    </row>
    <row r="160" spans="1:18">
      <c r="Q160" s="551"/>
      <c r="R160" s="551"/>
    </row>
    <row r="161" spans="1:25">
      <c r="Q161" s="551"/>
      <c r="R161" s="551"/>
    </row>
    <row r="162" spans="1:25">
      <c r="Q162" s="551"/>
      <c r="R162" s="551"/>
    </row>
    <row r="164" spans="1:25" ht="15.75" customHeight="1">
      <c r="A164" s="1159" t="s">
        <v>768</v>
      </c>
      <c r="B164" s="1159"/>
      <c r="C164" s="1159"/>
      <c r="D164" s="1159"/>
      <c r="E164" s="1159"/>
      <c r="F164" s="1159"/>
      <c r="G164" s="1159"/>
      <c r="H164" s="1159"/>
      <c r="I164" s="1159"/>
      <c r="J164" s="1159"/>
      <c r="K164" s="1159"/>
      <c r="L164" s="1159"/>
      <c r="M164" s="1159"/>
      <c r="N164" s="1159"/>
      <c r="O164" s="1159"/>
      <c r="P164" s="1159"/>
      <c r="Q164" s="1159"/>
      <c r="R164" s="918"/>
    </row>
    <row r="165" spans="1:25" ht="12.75" thickBot="1">
      <c r="L165" s="273"/>
      <c r="P165" s="595"/>
      <c r="Q165" s="273" t="s">
        <v>457</v>
      </c>
      <c r="R165" s="273"/>
    </row>
    <row r="166" spans="1:25" s="553" customFormat="1" ht="12.75" customHeight="1" thickBot="1">
      <c r="A166" s="1160" t="s">
        <v>17</v>
      </c>
      <c r="B166" s="1276" t="s">
        <v>1041</v>
      </c>
      <c r="C166" s="1280" t="s">
        <v>761</v>
      </c>
      <c r="D166" s="1282" t="s">
        <v>760</v>
      </c>
      <c r="E166" s="1278" t="s">
        <v>744</v>
      </c>
      <c r="F166" s="1284" t="s">
        <v>754</v>
      </c>
      <c r="G166" s="1181" t="s">
        <v>1442</v>
      </c>
      <c r="H166" s="1181" t="s">
        <v>1509</v>
      </c>
      <c r="I166" s="1178" t="s">
        <v>745</v>
      </c>
      <c r="J166" s="1179"/>
      <c r="K166" s="1179"/>
      <c r="L166" s="1179"/>
      <c r="M166" s="1180"/>
      <c r="N166" s="1181" t="s">
        <v>1510</v>
      </c>
      <c r="O166" s="1178" t="s">
        <v>745</v>
      </c>
      <c r="P166" s="1179"/>
      <c r="Q166" s="1180"/>
      <c r="R166" s="928"/>
    </row>
    <row r="167" spans="1:25" s="553" customFormat="1" ht="84" customHeight="1" thickBot="1">
      <c r="A167" s="1162"/>
      <c r="B167" s="1277"/>
      <c r="C167" s="1281"/>
      <c r="D167" s="1283"/>
      <c r="E167" s="1279"/>
      <c r="F167" s="1285"/>
      <c r="G167" s="1182"/>
      <c r="H167" s="1182"/>
      <c r="I167" s="340" t="s">
        <v>46</v>
      </c>
      <c r="J167" s="403" t="s">
        <v>446</v>
      </c>
      <c r="K167" s="403" t="s">
        <v>447</v>
      </c>
      <c r="L167" s="403" t="s">
        <v>765</v>
      </c>
      <c r="M167" s="402" t="s">
        <v>449</v>
      </c>
      <c r="N167" s="1182"/>
      <c r="O167" s="340" t="s">
        <v>450</v>
      </c>
      <c r="P167" s="403" t="s">
        <v>451</v>
      </c>
      <c r="Q167" s="402" t="s">
        <v>452</v>
      </c>
      <c r="R167" s="554"/>
    </row>
    <row r="168" spans="1:25" s="553" customFormat="1">
      <c r="A168" s="618">
        <v>1</v>
      </c>
      <c r="B168" s="944">
        <v>1</v>
      </c>
      <c r="C168" s="1337" t="s">
        <v>667</v>
      </c>
      <c r="D168" s="1058" t="s">
        <v>666</v>
      </c>
      <c r="E168" s="1338">
        <v>999000</v>
      </c>
      <c r="F168" s="1059" t="s">
        <v>414</v>
      </c>
      <c r="G168" s="540">
        <f t="shared" ref="G168:G239" si="84">+H168+N168</f>
        <v>50428.999999999993</v>
      </c>
      <c r="H168" s="541">
        <f>+I168+J168+K168+L168+M168</f>
        <v>50428.999999999993</v>
      </c>
      <c r="I168" s="1366">
        <v>43051.999999999993</v>
      </c>
      <c r="J168" s="1364">
        <v>6719</v>
      </c>
      <c r="K168" s="1358">
        <v>658</v>
      </c>
      <c r="L168" s="1358"/>
      <c r="M168" s="1359"/>
      <c r="N168" s="541">
        <f>+O168+P168+Q168</f>
        <v>0</v>
      </c>
      <c r="O168" s="1357"/>
      <c r="P168" s="1358"/>
      <c r="Q168" s="1359"/>
      <c r="R168" s="925"/>
      <c r="S168" s="551"/>
      <c r="T168" s="551"/>
      <c r="U168" s="551"/>
      <c r="V168" s="551"/>
      <c r="X168" s="551"/>
      <c r="Y168" s="551"/>
    </row>
    <row r="169" spans="1:25" s="553" customFormat="1">
      <c r="A169" s="618">
        <f>+A168+1</f>
        <v>2</v>
      </c>
      <c r="B169" s="945">
        <v>8</v>
      </c>
      <c r="C169" s="1339" t="s">
        <v>667</v>
      </c>
      <c r="D169" s="1062" t="s">
        <v>666</v>
      </c>
      <c r="E169" s="1340" t="s">
        <v>1225</v>
      </c>
      <c r="F169" s="1063" t="s">
        <v>995</v>
      </c>
      <c r="G169" s="540">
        <f t="shared" si="84"/>
        <v>2722620</v>
      </c>
      <c r="H169" s="541">
        <f t="shared" ref="H169:H239" si="85">+I169+J169+K169+L169+M169</f>
        <v>2716620</v>
      </c>
      <c r="I169" s="1357"/>
      <c r="J169" s="1361">
        <v>435</v>
      </c>
      <c r="K169" s="1361">
        <v>60260</v>
      </c>
      <c r="L169" s="1361"/>
      <c r="M169" s="1362">
        <v>2655925</v>
      </c>
      <c r="N169" s="541">
        <f t="shared" ref="N169:N239" si="86">+O169+P169+Q169</f>
        <v>6000</v>
      </c>
      <c r="O169" s="1360"/>
      <c r="P169" s="1361">
        <v>6000</v>
      </c>
      <c r="Q169" s="1362"/>
      <c r="R169" s="925"/>
    </row>
    <row r="170" spans="1:25" s="553" customFormat="1">
      <c r="A170" s="618">
        <f t="shared" ref="A170:A244" si="87">+A169+1</f>
        <v>3</v>
      </c>
      <c r="B170" s="945">
        <v>7</v>
      </c>
      <c r="C170" s="1339" t="s">
        <v>667</v>
      </c>
      <c r="D170" s="1062" t="s">
        <v>1519</v>
      </c>
      <c r="E170" s="1340" t="s">
        <v>1225</v>
      </c>
      <c r="F170" s="1063" t="s">
        <v>1520</v>
      </c>
      <c r="G170" s="540">
        <f t="shared" si="84"/>
        <v>0</v>
      </c>
      <c r="H170" s="541">
        <f t="shared" si="85"/>
        <v>0</v>
      </c>
      <c r="I170" s="1357"/>
      <c r="J170" s="1361"/>
      <c r="K170" s="1361"/>
      <c r="L170" s="1361"/>
      <c r="M170" s="1362"/>
      <c r="N170" s="541">
        <f t="shared" si="86"/>
        <v>0</v>
      </c>
      <c r="O170" s="1360"/>
      <c r="P170" s="1361"/>
      <c r="Q170" s="1362"/>
      <c r="R170" s="925"/>
    </row>
    <row r="171" spans="1:25" s="557" customFormat="1">
      <c r="A171" s="618">
        <f t="shared" si="87"/>
        <v>4</v>
      </c>
      <c r="B171" s="945">
        <v>8</v>
      </c>
      <c r="C171" s="1339" t="s">
        <v>675</v>
      </c>
      <c r="D171" s="1062" t="s">
        <v>858</v>
      </c>
      <c r="E171" s="1340" t="s">
        <v>1225</v>
      </c>
      <c r="F171" s="1063" t="s">
        <v>674</v>
      </c>
      <c r="G171" s="555">
        <f t="shared" si="84"/>
        <v>500</v>
      </c>
      <c r="H171" s="556">
        <f t="shared" si="85"/>
        <v>500</v>
      </c>
      <c r="I171" s="1357"/>
      <c r="J171" s="1367"/>
      <c r="K171" s="1367"/>
      <c r="L171" s="1367"/>
      <c r="M171" s="1368">
        <v>500</v>
      </c>
      <c r="N171" s="556">
        <f t="shared" si="86"/>
        <v>0</v>
      </c>
      <c r="O171" s="1370"/>
      <c r="P171" s="1367"/>
      <c r="Q171" s="1368"/>
      <c r="R171" s="926"/>
    </row>
    <row r="172" spans="1:25" s="553" customFormat="1">
      <c r="A172" s="618">
        <f t="shared" si="87"/>
        <v>5</v>
      </c>
      <c r="B172" s="945">
        <v>8</v>
      </c>
      <c r="C172" s="1339" t="s">
        <v>669</v>
      </c>
      <c r="D172" s="1062" t="s">
        <v>668</v>
      </c>
      <c r="E172" s="1341" t="s">
        <v>1225</v>
      </c>
      <c r="F172" s="1063" t="s">
        <v>634</v>
      </c>
      <c r="G172" s="558">
        <f t="shared" si="84"/>
        <v>0</v>
      </c>
      <c r="H172" s="559">
        <f t="shared" si="85"/>
        <v>0</v>
      </c>
      <c r="I172" s="1357"/>
      <c r="J172" s="1361"/>
      <c r="K172" s="1361"/>
      <c r="L172" s="1361"/>
      <c r="M172" s="1362"/>
      <c r="N172" s="559">
        <f t="shared" si="86"/>
        <v>0</v>
      </c>
      <c r="O172" s="1360"/>
      <c r="P172" s="1361"/>
      <c r="Q172" s="1362"/>
      <c r="R172" s="925"/>
    </row>
    <row r="173" spans="1:25">
      <c r="A173" s="618">
        <f t="shared" si="87"/>
        <v>6</v>
      </c>
      <c r="B173" s="945">
        <v>2</v>
      </c>
      <c r="C173" s="1339" t="s">
        <v>720</v>
      </c>
      <c r="D173" s="611" t="s">
        <v>719</v>
      </c>
      <c r="E173" s="1340" t="s">
        <v>1226</v>
      </c>
      <c r="F173" s="1064" t="s">
        <v>719</v>
      </c>
      <c r="G173" s="540">
        <f t="shared" si="84"/>
        <v>2319</v>
      </c>
      <c r="H173" s="541">
        <f t="shared" si="85"/>
        <v>2319</v>
      </c>
      <c r="I173" s="1357"/>
      <c r="J173" s="560"/>
      <c r="K173" s="560">
        <v>2319</v>
      </c>
      <c r="L173" s="560"/>
      <c r="M173" s="505"/>
      <c r="N173" s="541">
        <f t="shared" si="86"/>
        <v>0</v>
      </c>
      <c r="O173" s="561"/>
      <c r="P173" s="560"/>
      <c r="Q173" s="505"/>
      <c r="R173" s="925"/>
    </row>
    <row r="174" spans="1:25" ht="12.75" customHeight="1">
      <c r="A174" s="618">
        <f t="shared" si="87"/>
        <v>7</v>
      </c>
      <c r="B174" s="945">
        <v>8</v>
      </c>
      <c r="C174" s="1339" t="s">
        <v>704</v>
      </c>
      <c r="D174" s="1062" t="s">
        <v>1056</v>
      </c>
      <c r="E174" s="1341" t="s">
        <v>1227</v>
      </c>
      <c r="F174" s="1065" t="s">
        <v>1058</v>
      </c>
      <c r="G174" s="558">
        <f t="shared" si="84"/>
        <v>0</v>
      </c>
      <c r="H174" s="559">
        <f t="shared" si="85"/>
        <v>0</v>
      </c>
      <c r="I174" s="1357"/>
      <c r="J174" s="1361"/>
      <c r="K174" s="1361"/>
      <c r="L174" s="1361"/>
      <c r="M174" s="1362"/>
      <c r="N174" s="559">
        <f t="shared" si="86"/>
        <v>0</v>
      </c>
      <c r="O174" s="1360"/>
      <c r="P174" s="1361"/>
      <c r="Q174" s="1362"/>
      <c r="R174" s="925"/>
    </row>
    <row r="175" spans="1:25" s="564" customFormat="1">
      <c r="A175" s="618">
        <f t="shared" si="87"/>
        <v>8</v>
      </c>
      <c r="B175" s="945">
        <v>8</v>
      </c>
      <c r="C175" s="1339" t="s">
        <v>704</v>
      </c>
      <c r="D175" s="1066" t="s">
        <v>1056</v>
      </c>
      <c r="E175" s="1341" t="s">
        <v>1228</v>
      </c>
      <c r="F175" s="1067" t="s">
        <v>650</v>
      </c>
      <c r="G175" s="558">
        <f t="shared" si="84"/>
        <v>4376</v>
      </c>
      <c r="H175" s="559">
        <f t="shared" si="85"/>
        <v>4376</v>
      </c>
      <c r="I175" s="1357"/>
      <c r="J175" s="1361"/>
      <c r="K175" s="1361">
        <v>4376</v>
      </c>
      <c r="L175" s="1361"/>
      <c r="M175" s="1362"/>
      <c r="N175" s="559">
        <f t="shared" si="86"/>
        <v>0</v>
      </c>
      <c r="O175" s="1360"/>
      <c r="P175" s="1361"/>
      <c r="Q175" s="1362"/>
      <c r="R175" s="925"/>
    </row>
    <row r="176" spans="1:25">
      <c r="A176" s="618">
        <f t="shared" si="87"/>
        <v>9</v>
      </c>
      <c r="B176" s="945">
        <v>8</v>
      </c>
      <c r="C176" s="1339" t="s">
        <v>701</v>
      </c>
      <c r="D176" s="1062" t="s">
        <v>700</v>
      </c>
      <c r="E176" s="1341" t="s">
        <v>1229</v>
      </c>
      <c r="F176" s="1065" t="s">
        <v>776</v>
      </c>
      <c r="G176" s="558">
        <f t="shared" si="84"/>
        <v>11303</v>
      </c>
      <c r="H176" s="559">
        <f t="shared" si="85"/>
        <v>11303</v>
      </c>
      <c r="I176" s="1357"/>
      <c r="J176" s="1361"/>
      <c r="K176" s="1361">
        <v>11303</v>
      </c>
      <c r="L176" s="1361"/>
      <c r="M176" s="1362"/>
      <c r="N176" s="559">
        <f t="shared" si="86"/>
        <v>0</v>
      </c>
      <c r="O176" s="1360"/>
      <c r="P176" s="1361"/>
      <c r="Q176" s="1362"/>
      <c r="R176" s="925"/>
    </row>
    <row r="177" spans="1:18">
      <c r="A177" s="618">
        <f t="shared" si="87"/>
        <v>10</v>
      </c>
      <c r="B177" s="945">
        <v>8</v>
      </c>
      <c r="C177" s="1339" t="s">
        <v>999</v>
      </c>
      <c r="D177" s="1062" t="s">
        <v>1000</v>
      </c>
      <c r="E177" s="1341" t="s">
        <v>1225</v>
      </c>
      <c r="F177" s="1065" t="s">
        <v>1001</v>
      </c>
      <c r="G177" s="558">
        <f t="shared" si="84"/>
        <v>10000</v>
      </c>
      <c r="H177" s="559">
        <f t="shared" si="85"/>
        <v>10000</v>
      </c>
      <c r="I177" s="1357"/>
      <c r="J177" s="1361"/>
      <c r="K177" s="1361">
        <v>10000</v>
      </c>
      <c r="L177" s="1361"/>
      <c r="M177" s="1362"/>
      <c r="N177" s="559">
        <f t="shared" si="86"/>
        <v>0</v>
      </c>
      <c r="O177" s="1360"/>
      <c r="P177" s="1361"/>
      <c r="Q177" s="1362"/>
      <c r="R177" s="925"/>
    </row>
    <row r="178" spans="1:18">
      <c r="A178" s="618">
        <f t="shared" si="87"/>
        <v>11</v>
      </c>
      <c r="B178" s="945">
        <v>8</v>
      </c>
      <c r="C178" s="1339" t="s">
        <v>725</v>
      </c>
      <c r="D178" s="1062" t="s">
        <v>723</v>
      </c>
      <c r="E178" s="1341" t="s">
        <v>1225</v>
      </c>
      <c r="F178" s="1065" t="s">
        <v>721</v>
      </c>
      <c r="G178" s="558">
        <f t="shared" si="84"/>
        <v>0</v>
      </c>
      <c r="H178" s="559">
        <f t="shared" si="85"/>
        <v>0</v>
      </c>
      <c r="I178" s="1357"/>
      <c r="J178" s="1361"/>
      <c r="K178" s="1361"/>
      <c r="L178" s="1361"/>
      <c r="M178" s="1362"/>
      <c r="N178" s="559">
        <f t="shared" si="86"/>
        <v>0</v>
      </c>
      <c r="O178" s="1360"/>
      <c r="P178" s="1361"/>
      <c r="Q178" s="1362"/>
      <c r="R178" s="925"/>
    </row>
    <row r="179" spans="1:18">
      <c r="A179" s="618">
        <f t="shared" si="87"/>
        <v>12</v>
      </c>
      <c r="B179" s="945">
        <v>8</v>
      </c>
      <c r="C179" s="1339" t="s">
        <v>722</v>
      </c>
      <c r="D179" s="1062" t="s">
        <v>724</v>
      </c>
      <c r="E179" s="1341" t="s">
        <v>1225</v>
      </c>
      <c r="F179" s="1065" t="s">
        <v>651</v>
      </c>
      <c r="G179" s="558">
        <f t="shared" si="84"/>
        <v>1000</v>
      </c>
      <c r="H179" s="559">
        <f t="shared" si="85"/>
        <v>1000</v>
      </c>
      <c r="I179" s="1357"/>
      <c r="J179" s="1361"/>
      <c r="K179" s="1361"/>
      <c r="L179" s="1361"/>
      <c r="M179" s="1362">
        <v>1000</v>
      </c>
      <c r="N179" s="559">
        <f t="shared" si="86"/>
        <v>0</v>
      </c>
      <c r="O179" s="1360"/>
      <c r="P179" s="1361"/>
      <c r="Q179" s="1362"/>
      <c r="R179" s="925"/>
    </row>
    <row r="180" spans="1:18">
      <c r="A180" s="618">
        <f t="shared" si="87"/>
        <v>13</v>
      </c>
      <c r="B180" s="945">
        <v>8</v>
      </c>
      <c r="C180" s="1339" t="s">
        <v>1002</v>
      </c>
      <c r="D180" s="1062" t="s">
        <v>1003</v>
      </c>
      <c r="E180" s="1341" t="s">
        <v>1225</v>
      </c>
      <c r="F180" s="1065" t="s">
        <v>995</v>
      </c>
      <c r="G180" s="558">
        <f t="shared" si="84"/>
        <v>0</v>
      </c>
      <c r="H180" s="559">
        <f t="shared" si="85"/>
        <v>0</v>
      </c>
      <c r="I180" s="1357"/>
      <c r="J180" s="1361"/>
      <c r="K180" s="1361"/>
      <c r="L180" s="1361"/>
      <c r="M180" s="1362"/>
      <c r="N180" s="559">
        <f t="shared" si="86"/>
        <v>0</v>
      </c>
      <c r="O180" s="1360"/>
      <c r="P180" s="1361"/>
      <c r="Q180" s="1362"/>
      <c r="R180" s="925"/>
    </row>
    <row r="181" spans="1:18">
      <c r="A181" s="618">
        <f t="shared" si="87"/>
        <v>14</v>
      </c>
      <c r="B181" s="945">
        <v>8</v>
      </c>
      <c r="C181" s="1339" t="s">
        <v>727</v>
      </c>
      <c r="D181" s="1062" t="s">
        <v>726</v>
      </c>
      <c r="E181" s="1341" t="s">
        <v>1225</v>
      </c>
      <c r="F181" s="1065" t="s">
        <v>652</v>
      </c>
      <c r="G181" s="558">
        <f t="shared" si="84"/>
        <v>500</v>
      </c>
      <c r="H181" s="559">
        <f t="shared" si="85"/>
        <v>500</v>
      </c>
      <c r="I181" s="1357"/>
      <c r="J181" s="1361"/>
      <c r="K181" s="1361"/>
      <c r="L181" s="1361"/>
      <c r="M181" s="1362">
        <v>500</v>
      </c>
      <c r="N181" s="559">
        <f t="shared" si="86"/>
        <v>0</v>
      </c>
      <c r="O181" s="1360"/>
      <c r="P181" s="1361"/>
      <c r="Q181" s="1362"/>
      <c r="R181" s="925"/>
    </row>
    <row r="182" spans="1:18">
      <c r="A182" s="618">
        <f t="shared" si="87"/>
        <v>15</v>
      </c>
      <c r="B182" s="945">
        <v>8</v>
      </c>
      <c r="C182" s="1339" t="s">
        <v>709</v>
      </c>
      <c r="D182" s="1062" t="s">
        <v>661</v>
      </c>
      <c r="E182" s="1341" t="s">
        <v>1225</v>
      </c>
      <c r="F182" s="1065" t="s">
        <v>708</v>
      </c>
      <c r="G182" s="558">
        <f t="shared" si="84"/>
        <v>0</v>
      </c>
      <c r="H182" s="559">
        <f t="shared" si="85"/>
        <v>0</v>
      </c>
      <c r="I182" s="1357"/>
      <c r="J182" s="1361"/>
      <c r="K182" s="1361"/>
      <c r="L182" s="1361"/>
      <c r="M182" s="1362"/>
      <c r="N182" s="559">
        <f t="shared" si="86"/>
        <v>0</v>
      </c>
      <c r="O182" s="1360"/>
      <c r="P182" s="1361"/>
      <c r="Q182" s="1362"/>
      <c r="R182" s="925"/>
    </row>
    <row r="183" spans="1:18">
      <c r="A183" s="618">
        <f t="shared" si="87"/>
        <v>16</v>
      </c>
      <c r="B183" s="945">
        <v>8</v>
      </c>
      <c r="C183" s="1339" t="s">
        <v>710</v>
      </c>
      <c r="D183" s="1062" t="s">
        <v>662</v>
      </c>
      <c r="E183" s="1341" t="s">
        <v>1225</v>
      </c>
      <c r="F183" s="1065" t="s">
        <v>708</v>
      </c>
      <c r="G183" s="558">
        <f t="shared" si="84"/>
        <v>0</v>
      </c>
      <c r="H183" s="559">
        <f t="shared" si="85"/>
        <v>0</v>
      </c>
      <c r="I183" s="1357"/>
      <c r="J183" s="1361"/>
      <c r="K183" s="1361"/>
      <c r="L183" s="1361"/>
      <c r="M183" s="1362"/>
      <c r="N183" s="559">
        <f t="shared" si="86"/>
        <v>0</v>
      </c>
      <c r="O183" s="1360"/>
      <c r="P183" s="1361"/>
      <c r="Q183" s="1362"/>
      <c r="R183" s="925"/>
    </row>
    <row r="184" spans="1:18">
      <c r="A184" s="618">
        <f t="shared" si="87"/>
        <v>17</v>
      </c>
      <c r="B184" s="945">
        <v>8</v>
      </c>
      <c r="C184" s="1339" t="s">
        <v>712</v>
      </c>
      <c r="D184" s="1062" t="s">
        <v>713</v>
      </c>
      <c r="E184" s="1341" t="s">
        <v>1225</v>
      </c>
      <c r="F184" s="1065" t="s">
        <v>711</v>
      </c>
      <c r="G184" s="558">
        <f t="shared" si="84"/>
        <v>36260</v>
      </c>
      <c r="H184" s="559">
        <f t="shared" si="85"/>
        <v>36260</v>
      </c>
      <c r="I184" s="1357">
        <v>23927</v>
      </c>
      <c r="J184" s="1361">
        <v>2333</v>
      </c>
      <c r="K184" s="1361">
        <v>10000</v>
      </c>
      <c r="L184" s="1361"/>
      <c r="M184" s="1362"/>
      <c r="N184" s="559">
        <f t="shared" si="86"/>
        <v>0</v>
      </c>
      <c r="O184" s="1360"/>
      <c r="P184" s="1361"/>
      <c r="Q184" s="1362"/>
      <c r="R184" s="925"/>
    </row>
    <row r="185" spans="1:18">
      <c r="A185" s="618">
        <f t="shared" si="87"/>
        <v>18</v>
      </c>
      <c r="B185" s="945">
        <v>8</v>
      </c>
      <c r="C185" s="1339" t="s">
        <v>716</v>
      </c>
      <c r="D185" s="1062" t="s">
        <v>717</v>
      </c>
      <c r="E185" s="1341" t="s">
        <v>1225</v>
      </c>
      <c r="F185" s="1065" t="s">
        <v>714</v>
      </c>
      <c r="G185" s="558">
        <f t="shared" si="84"/>
        <v>0</v>
      </c>
      <c r="H185" s="559">
        <f t="shared" si="85"/>
        <v>0</v>
      </c>
      <c r="I185" s="1357"/>
      <c r="J185" s="1361"/>
      <c r="K185" s="1361"/>
      <c r="L185" s="1361"/>
      <c r="M185" s="1362"/>
      <c r="N185" s="559">
        <f t="shared" si="86"/>
        <v>0</v>
      </c>
      <c r="O185" s="1360"/>
      <c r="P185" s="1361"/>
      <c r="Q185" s="1362"/>
      <c r="R185" s="925"/>
    </row>
    <row r="186" spans="1:18">
      <c r="A186" s="618">
        <f t="shared" si="87"/>
        <v>19</v>
      </c>
      <c r="B186" s="945">
        <v>8</v>
      </c>
      <c r="C186" s="1342" t="s">
        <v>715</v>
      </c>
      <c r="D186" s="1062" t="s">
        <v>663</v>
      </c>
      <c r="E186" s="1341" t="s">
        <v>1225</v>
      </c>
      <c r="F186" s="1065" t="s">
        <v>714</v>
      </c>
      <c r="G186" s="558">
        <f t="shared" si="84"/>
        <v>10433</v>
      </c>
      <c r="H186" s="559">
        <f t="shared" si="85"/>
        <v>10433</v>
      </c>
      <c r="I186" s="1357">
        <v>9506</v>
      </c>
      <c r="J186" s="1361">
        <v>927</v>
      </c>
      <c r="K186" s="1361"/>
      <c r="L186" s="1361"/>
      <c r="M186" s="1362"/>
      <c r="N186" s="559">
        <f t="shared" si="86"/>
        <v>0</v>
      </c>
      <c r="O186" s="1360"/>
      <c r="P186" s="1361"/>
      <c r="Q186" s="1362"/>
      <c r="R186" s="925"/>
    </row>
    <row r="187" spans="1:18">
      <c r="A187" s="618">
        <f t="shared" si="87"/>
        <v>20</v>
      </c>
      <c r="B187" s="946">
        <v>8</v>
      </c>
      <c r="C187" s="1343" t="s">
        <v>706</v>
      </c>
      <c r="D187" s="1068" t="s">
        <v>705</v>
      </c>
      <c r="E187" s="1344" t="s">
        <v>1230</v>
      </c>
      <c r="F187" s="1069" t="s">
        <v>1004</v>
      </c>
      <c r="G187" s="558">
        <f t="shared" si="84"/>
        <v>3500</v>
      </c>
      <c r="H187" s="559">
        <f t="shared" si="85"/>
        <v>3500</v>
      </c>
      <c r="I187" s="1357"/>
      <c r="J187" s="1361"/>
      <c r="K187" s="1361">
        <v>3500</v>
      </c>
      <c r="L187" s="1361"/>
      <c r="M187" s="1362"/>
      <c r="N187" s="559">
        <f t="shared" si="86"/>
        <v>0</v>
      </c>
      <c r="O187" s="1360"/>
      <c r="P187" s="1361"/>
      <c r="Q187" s="1362"/>
      <c r="R187" s="925"/>
    </row>
    <row r="188" spans="1:18">
      <c r="A188" s="618">
        <f t="shared" si="87"/>
        <v>21</v>
      </c>
      <c r="B188" s="947">
        <v>5</v>
      </c>
      <c r="C188" s="1343" t="s">
        <v>694</v>
      </c>
      <c r="D188" s="1068" t="s">
        <v>642</v>
      </c>
      <c r="E188" s="1344" t="s">
        <v>1225</v>
      </c>
      <c r="F188" s="1069" t="s">
        <v>642</v>
      </c>
      <c r="G188" s="558">
        <f t="shared" si="84"/>
        <v>0</v>
      </c>
      <c r="H188" s="559">
        <f t="shared" si="85"/>
        <v>0</v>
      </c>
      <c r="I188" s="1357"/>
      <c r="J188" s="1361"/>
      <c r="K188" s="1361"/>
      <c r="L188" s="1361"/>
      <c r="M188" s="1362"/>
      <c r="N188" s="559">
        <f t="shared" si="86"/>
        <v>0</v>
      </c>
      <c r="O188" s="1360"/>
      <c r="P188" s="1361"/>
      <c r="Q188" s="1362"/>
      <c r="R188" s="925"/>
    </row>
    <row r="189" spans="1:18">
      <c r="A189" s="618">
        <f t="shared" si="87"/>
        <v>22</v>
      </c>
      <c r="B189" s="947">
        <v>8</v>
      </c>
      <c r="C189" s="1342" t="s">
        <v>696</v>
      </c>
      <c r="D189" s="1062" t="s">
        <v>695</v>
      </c>
      <c r="E189" s="1341" t="s">
        <v>1247</v>
      </c>
      <c r="F189" s="1065" t="s">
        <v>695</v>
      </c>
      <c r="G189" s="558">
        <f t="shared" si="84"/>
        <v>1800</v>
      </c>
      <c r="H189" s="559">
        <f t="shared" si="85"/>
        <v>1800</v>
      </c>
      <c r="I189" s="1357"/>
      <c r="J189" s="1361"/>
      <c r="K189" s="1361">
        <v>1800</v>
      </c>
      <c r="L189" s="1361"/>
      <c r="M189" s="1362"/>
      <c r="N189" s="559">
        <f t="shared" si="86"/>
        <v>0</v>
      </c>
      <c r="O189" s="1360"/>
      <c r="P189" s="1361"/>
      <c r="Q189" s="1362"/>
      <c r="R189" s="925"/>
    </row>
    <row r="190" spans="1:18">
      <c r="A190" s="618">
        <f t="shared" si="87"/>
        <v>23</v>
      </c>
      <c r="B190" s="946">
        <v>5</v>
      </c>
      <c r="C190" s="1342" t="s">
        <v>697</v>
      </c>
      <c r="D190" s="1062" t="s">
        <v>643</v>
      </c>
      <c r="E190" s="1341" t="s">
        <v>1225</v>
      </c>
      <c r="F190" s="1065" t="s">
        <v>643</v>
      </c>
      <c r="G190" s="558">
        <f t="shared" si="84"/>
        <v>74157</v>
      </c>
      <c r="H190" s="559">
        <f t="shared" si="85"/>
        <v>12899</v>
      </c>
      <c r="I190" s="1357"/>
      <c r="J190" s="1361"/>
      <c r="K190" s="1361">
        <v>12899</v>
      </c>
      <c r="L190" s="1361"/>
      <c r="M190" s="1362"/>
      <c r="N190" s="559">
        <f t="shared" si="86"/>
        <v>61258</v>
      </c>
      <c r="O190" s="1360"/>
      <c r="P190" s="1361">
        <v>61258</v>
      </c>
      <c r="Q190" s="1362"/>
      <c r="R190" s="925"/>
    </row>
    <row r="191" spans="1:18">
      <c r="A191" s="618">
        <f t="shared" si="87"/>
        <v>24</v>
      </c>
      <c r="B191" s="946">
        <v>8</v>
      </c>
      <c r="C191" s="1342" t="s">
        <v>718</v>
      </c>
      <c r="D191" s="1062" t="s">
        <v>648</v>
      </c>
      <c r="E191" s="1341" t="s">
        <v>1225</v>
      </c>
      <c r="F191" s="1065" t="s">
        <v>648</v>
      </c>
      <c r="G191" s="562">
        <f t="shared" si="84"/>
        <v>0</v>
      </c>
      <c r="H191" s="563">
        <f t="shared" si="85"/>
        <v>0</v>
      </c>
      <c r="I191" s="1357"/>
      <c r="J191" s="1369"/>
      <c r="K191" s="1369"/>
      <c r="L191" s="1369"/>
      <c r="M191" s="480"/>
      <c r="N191" s="563">
        <f t="shared" si="86"/>
        <v>0</v>
      </c>
      <c r="O191" s="1371"/>
      <c r="P191" s="1369"/>
      <c r="Q191" s="480"/>
      <c r="R191" s="925"/>
    </row>
    <row r="192" spans="1:18">
      <c r="A192" s="618">
        <f t="shared" si="87"/>
        <v>25</v>
      </c>
      <c r="B192" s="946">
        <v>8</v>
      </c>
      <c r="C192" s="1342" t="s">
        <v>692</v>
      </c>
      <c r="D192" s="1062" t="s">
        <v>693</v>
      </c>
      <c r="E192" s="1341" t="s">
        <v>1225</v>
      </c>
      <c r="F192" s="1065" t="s">
        <v>1007</v>
      </c>
      <c r="G192" s="562">
        <f t="shared" si="84"/>
        <v>0</v>
      </c>
      <c r="H192" s="563">
        <f t="shared" si="85"/>
        <v>0</v>
      </c>
      <c r="I192" s="1357"/>
      <c r="J192" s="1369"/>
      <c r="K192" s="1369"/>
      <c r="L192" s="1369"/>
      <c r="M192" s="480"/>
      <c r="N192" s="563">
        <f t="shared" si="86"/>
        <v>0</v>
      </c>
      <c r="O192" s="1371"/>
      <c r="P192" s="1369"/>
      <c r="Q192" s="480"/>
      <c r="R192" s="925"/>
    </row>
    <row r="193" spans="1:18">
      <c r="A193" s="618">
        <f t="shared" si="87"/>
        <v>26</v>
      </c>
      <c r="B193" s="946">
        <v>8</v>
      </c>
      <c r="C193" s="1342" t="s">
        <v>690</v>
      </c>
      <c r="D193" s="1062" t="s">
        <v>691</v>
      </c>
      <c r="E193" s="1341" t="s">
        <v>1225</v>
      </c>
      <c r="F193" s="1065" t="s">
        <v>641</v>
      </c>
      <c r="G193" s="562">
        <f t="shared" si="84"/>
        <v>4107</v>
      </c>
      <c r="H193" s="563">
        <f t="shared" si="85"/>
        <v>4107</v>
      </c>
      <c r="I193" s="1357"/>
      <c r="J193" s="1369"/>
      <c r="K193" s="1369">
        <v>4107</v>
      </c>
      <c r="L193" s="1369"/>
      <c r="M193" s="480"/>
      <c r="N193" s="563">
        <f t="shared" si="86"/>
        <v>0</v>
      </c>
      <c r="O193" s="1371"/>
      <c r="P193" s="1369"/>
      <c r="Q193" s="480"/>
      <c r="R193" s="925"/>
    </row>
    <row r="194" spans="1:18" s="564" customFormat="1">
      <c r="A194" s="618">
        <f t="shared" si="87"/>
        <v>27</v>
      </c>
      <c r="B194" s="946">
        <v>3</v>
      </c>
      <c r="C194" s="1342" t="s">
        <v>698</v>
      </c>
      <c r="D194" s="1062" t="s">
        <v>644</v>
      </c>
      <c r="E194" s="1341" t="s">
        <v>1225</v>
      </c>
      <c r="F194" s="1065" t="s">
        <v>644</v>
      </c>
      <c r="G194" s="558">
        <f t="shared" si="84"/>
        <v>26500</v>
      </c>
      <c r="H194" s="559">
        <f t="shared" si="85"/>
        <v>25000</v>
      </c>
      <c r="I194" s="1357"/>
      <c r="J194" s="1361"/>
      <c r="K194" s="1361">
        <v>25000</v>
      </c>
      <c r="L194" s="1361"/>
      <c r="M194" s="1362"/>
      <c r="N194" s="559">
        <f t="shared" si="86"/>
        <v>1500</v>
      </c>
      <c r="O194" s="1360">
        <v>1500</v>
      </c>
      <c r="P194" s="1361"/>
      <c r="Q194" s="1362"/>
      <c r="R194" s="925"/>
    </row>
    <row r="195" spans="1:18" s="564" customFormat="1">
      <c r="A195" s="618">
        <f t="shared" si="87"/>
        <v>28</v>
      </c>
      <c r="B195" s="946">
        <v>4</v>
      </c>
      <c r="C195" s="1342" t="s">
        <v>707</v>
      </c>
      <c r="D195" s="1062" t="s">
        <v>646</v>
      </c>
      <c r="E195" s="1341" t="s">
        <v>1232</v>
      </c>
      <c r="F195" s="1065" t="s">
        <v>646</v>
      </c>
      <c r="G195" s="558">
        <f t="shared" si="84"/>
        <v>13381</v>
      </c>
      <c r="H195" s="559">
        <f t="shared" si="85"/>
        <v>13381</v>
      </c>
      <c r="I195" s="1357"/>
      <c r="J195" s="1361"/>
      <c r="K195" s="1361">
        <v>13381</v>
      </c>
      <c r="L195" s="1361"/>
      <c r="M195" s="1362"/>
      <c r="N195" s="559">
        <f t="shared" si="86"/>
        <v>0</v>
      </c>
      <c r="O195" s="1360"/>
      <c r="P195" s="1361"/>
      <c r="Q195" s="1362"/>
      <c r="R195" s="925"/>
    </row>
    <row r="196" spans="1:18" s="564" customFormat="1" ht="24" customHeight="1">
      <c r="A196" s="618">
        <f t="shared" si="87"/>
        <v>29</v>
      </c>
      <c r="B196" s="946">
        <v>8</v>
      </c>
      <c r="C196" s="1339" t="s">
        <v>699</v>
      </c>
      <c r="D196" s="1066" t="s">
        <v>645</v>
      </c>
      <c r="E196" s="1341" t="s">
        <v>1225</v>
      </c>
      <c r="F196" s="1067" t="s">
        <v>645</v>
      </c>
      <c r="G196" s="558">
        <f t="shared" si="84"/>
        <v>92641</v>
      </c>
      <c r="H196" s="559">
        <f t="shared" si="85"/>
        <v>19141</v>
      </c>
      <c r="I196" s="1357"/>
      <c r="J196" s="1361"/>
      <c r="K196" s="1361">
        <v>19141</v>
      </c>
      <c r="L196" s="1361"/>
      <c r="M196" s="1362"/>
      <c r="N196" s="559">
        <f t="shared" si="86"/>
        <v>73500</v>
      </c>
      <c r="O196" s="1360">
        <v>73500</v>
      </c>
      <c r="P196" s="1361"/>
      <c r="Q196" s="1362"/>
      <c r="R196" s="925"/>
    </row>
    <row r="197" spans="1:18" s="564" customFormat="1" ht="24">
      <c r="A197" s="618">
        <f t="shared" si="87"/>
        <v>30</v>
      </c>
      <c r="B197" s="945">
        <v>7</v>
      </c>
      <c r="C197" s="1339" t="s">
        <v>696</v>
      </c>
      <c r="D197" s="1066" t="s">
        <v>1258</v>
      </c>
      <c r="E197" s="1341" t="s">
        <v>1247</v>
      </c>
      <c r="F197" s="1067" t="s">
        <v>1249</v>
      </c>
      <c r="G197" s="558">
        <f>+H197+N197</f>
        <v>0</v>
      </c>
      <c r="H197" s="559">
        <f>+I197+J197+K197+L197+M197</f>
        <v>0</v>
      </c>
      <c r="I197" s="1357"/>
      <c r="J197" s="1361"/>
      <c r="K197" s="1361"/>
      <c r="L197" s="1361"/>
      <c r="M197" s="1362"/>
      <c r="N197" s="559">
        <f>+O197+P197+Q197</f>
        <v>0</v>
      </c>
      <c r="O197" s="1360"/>
      <c r="P197" s="1361"/>
      <c r="Q197" s="1362"/>
      <c r="R197" s="925"/>
    </row>
    <row r="198" spans="1:18" s="564" customFormat="1" ht="12" customHeight="1">
      <c r="A198" s="618">
        <f t="shared" si="87"/>
        <v>31</v>
      </c>
      <c r="B198" s="945">
        <v>7</v>
      </c>
      <c r="C198" s="1339" t="s">
        <v>696</v>
      </c>
      <c r="D198" s="1066" t="s">
        <v>1258</v>
      </c>
      <c r="E198" s="1341" t="s">
        <v>1247</v>
      </c>
      <c r="F198" s="1067" t="s">
        <v>1250</v>
      </c>
      <c r="G198" s="558">
        <f t="shared" si="84"/>
        <v>0</v>
      </c>
      <c r="H198" s="559">
        <f t="shared" si="85"/>
        <v>0</v>
      </c>
      <c r="I198" s="1357"/>
      <c r="J198" s="1361"/>
      <c r="K198" s="1361"/>
      <c r="L198" s="1361"/>
      <c r="M198" s="1362"/>
      <c r="N198" s="559">
        <f t="shared" si="86"/>
        <v>0</v>
      </c>
      <c r="O198" s="1360"/>
      <c r="P198" s="1361"/>
      <c r="Q198" s="1362"/>
      <c r="R198" s="925"/>
    </row>
    <row r="199" spans="1:18" s="564" customFormat="1" ht="12" customHeight="1">
      <c r="A199" s="618">
        <f t="shared" si="87"/>
        <v>32</v>
      </c>
      <c r="B199" s="945">
        <v>7</v>
      </c>
      <c r="C199" s="1339" t="s">
        <v>696</v>
      </c>
      <c r="D199" s="1066" t="s">
        <v>1258</v>
      </c>
      <c r="E199" s="1341" t="s">
        <v>1247</v>
      </c>
      <c r="F199" s="1067" t="s">
        <v>1251</v>
      </c>
      <c r="G199" s="558">
        <f t="shared" si="84"/>
        <v>0</v>
      </c>
      <c r="H199" s="559">
        <f t="shared" si="85"/>
        <v>0</v>
      </c>
      <c r="I199" s="1357"/>
      <c r="J199" s="1361"/>
      <c r="K199" s="1361"/>
      <c r="L199" s="1361"/>
      <c r="M199" s="1362"/>
      <c r="N199" s="559">
        <f t="shared" si="86"/>
        <v>0</v>
      </c>
      <c r="O199" s="1360"/>
      <c r="P199" s="1361"/>
      <c r="Q199" s="1362"/>
      <c r="R199" s="925"/>
    </row>
    <row r="200" spans="1:18" s="564" customFormat="1" ht="12" customHeight="1">
      <c r="A200" s="618">
        <f t="shared" si="87"/>
        <v>33</v>
      </c>
      <c r="B200" s="945">
        <v>7</v>
      </c>
      <c r="C200" s="1339" t="s">
        <v>1254</v>
      </c>
      <c r="D200" s="1066" t="s">
        <v>1252</v>
      </c>
      <c r="E200" s="1341" t="s">
        <v>1225</v>
      </c>
      <c r="F200" s="1067" t="s">
        <v>1253</v>
      </c>
      <c r="G200" s="558">
        <f t="shared" si="84"/>
        <v>0</v>
      </c>
      <c r="H200" s="559">
        <f t="shared" si="85"/>
        <v>0</v>
      </c>
      <c r="I200" s="1357"/>
      <c r="J200" s="1361"/>
      <c r="K200" s="1361"/>
      <c r="L200" s="1361"/>
      <c r="M200" s="1362"/>
      <c r="N200" s="559">
        <f t="shared" si="86"/>
        <v>0</v>
      </c>
      <c r="O200" s="1360"/>
      <c r="P200" s="1361"/>
      <c r="Q200" s="1362"/>
      <c r="R200" s="925"/>
    </row>
    <row r="201" spans="1:18" s="564" customFormat="1" ht="12" customHeight="1">
      <c r="A201" s="618">
        <f t="shared" si="87"/>
        <v>34</v>
      </c>
      <c r="B201" s="945">
        <v>7</v>
      </c>
      <c r="C201" s="1339" t="s">
        <v>1076</v>
      </c>
      <c r="D201" s="1066" t="s">
        <v>1257</v>
      </c>
      <c r="E201" s="1341" t="s">
        <v>1225</v>
      </c>
      <c r="F201" s="1067" t="s">
        <v>1256</v>
      </c>
      <c r="G201" s="558">
        <f>+H201+N201</f>
        <v>0</v>
      </c>
      <c r="H201" s="559">
        <f>+I201+J201+K201+L201+M201</f>
        <v>0</v>
      </c>
      <c r="I201" s="1357"/>
      <c r="J201" s="1361"/>
      <c r="K201" s="1361"/>
      <c r="L201" s="1361"/>
      <c r="M201" s="1362"/>
      <c r="N201" s="559">
        <f>+O201+P201+Q201</f>
        <v>0</v>
      </c>
      <c r="O201" s="1360"/>
      <c r="P201" s="1361"/>
      <c r="Q201" s="1362"/>
      <c r="R201" s="925"/>
    </row>
    <row r="202" spans="1:18" s="564" customFormat="1" ht="12" customHeight="1">
      <c r="A202" s="618">
        <f t="shared" si="87"/>
        <v>35</v>
      </c>
      <c r="B202" s="945">
        <v>7</v>
      </c>
      <c r="C202" s="1339" t="s">
        <v>1259</v>
      </c>
      <c r="D202" s="1066" t="s">
        <v>1260</v>
      </c>
      <c r="E202" s="1341" t="s">
        <v>1225</v>
      </c>
      <c r="F202" s="1067" t="s">
        <v>1261</v>
      </c>
      <c r="G202" s="558">
        <f t="shared" si="84"/>
        <v>0</v>
      </c>
      <c r="H202" s="559">
        <f t="shared" si="85"/>
        <v>0</v>
      </c>
      <c r="I202" s="1357"/>
      <c r="J202" s="1361"/>
      <c r="K202" s="1361"/>
      <c r="L202" s="1361"/>
      <c r="M202" s="1362"/>
      <c r="N202" s="559">
        <f t="shared" si="86"/>
        <v>0</v>
      </c>
      <c r="O202" s="1360"/>
      <c r="P202" s="1361"/>
      <c r="Q202" s="1362"/>
      <c r="R202" s="925"/>
    </row>
    <row r="203" spans="1:18" s="564" customFormat="1" ht="12" customHeight="1">
      <c r="A203" s="618">
        <f t="shared" si="87"/>
        <v>36</v>
      </c>
      <c r="B203" s="945">
        <v>7</v>
      </c>
      <c r="C203" s="1339" t="s">
        <v>704</v>
      </c>
      <c r="D203" s="1066" t="s">
        <v>1263</v>
      </c>
      <c r="E203" s="1341" t="s">
        <v>1228</v>
      </c>
      <c r="F203" s="1067" t="s">
        <v>1262</v>
      </c>
      <c r="G203" s="558">
        <f>+H203+N203</f>
        <v>0</v>
      </c>
      <c r="H203" s="559">
        <f>+I203+J203+K203+L203+M203</f>
        <v>0</v>
      </c>
      <c r="I203" s="1357"/>
      <c r="J203" s="1361"/>
      <c r="K203" s="1361"/>
      <c r="L203" s="1361"/>
      <c r="M203" s="1362"/>
      <c r="N203" s="559">
        <f>+O203+P203+Q203</f>
        <v>0</v>
      </c>
      <c r="O203" s="1360"/>
      <c r="P203" s="1361"/>
      <c r="Q203" s="1362"/>
      <c r="R203" s="925"/>
    </row>
    <row r="204" spans="1:18" s="564" customFormat="1">
      <c r="A204" s="618">
        <f t="shared" si="87"/>
        <v>37</v>
      </c>
      <c r="B204" s="945">
        <v>7</v>
      </c>
      <c r="C204" s="1342" t="s">
        <v>1264</v>
      </c>
      <c r="D204" s="1062" t="s">
        <v>1266</v>
      </c>
      <c r="E204" s="1341" t="s">
        <v>1225</v>
      </c>
      <c r="F204" s="1065" t="s">
        <v>1265</v>
      </c>
      <c r="G204" s="558">
        <f t="shared" si="84"/>
        <v>0</v>
      </c>
      <c r="H204" s="559">
        <f t="shared" si="85"/>
        <v>0</v>
      </c>
      <c r="I204" s="1357"/>
      <c r="J204" s="1361"/>
      <c r="K204" s="1361"/>
      <c r="L204" s="1361"/>
      <c r="M204" s="1362"/>
      <c r="N204" s="559">
        <f t="shared" si="86"/>
        <v>0</v>
      </c>
      <c r="O204" s="1360"/>
      <c r="P204" s="1361"/>
      <c r="Q204" s="1362"/>
      <c r="R204" s="925"/>
    </row>
    <row r="205" spans="1:18" s="564" customFormat="1">
      <c r="A205" s="618">
        <f t="shared" si="87"/>
        <v>38</v>
      </c>
      <c r="B205" s="945">
        <v>7</v>
      </c>
      <c r="C205" s="1342" t="s">
        <v>704</v>
      </c>
      <c r="D205" s="1062" t="s">
        <v>1268</v>
      </c>
      <c r="E205" s="1341" t="s">
        <v>1228</v>
      </c>
      <c r="F205" s="1065" t="s">
        <v>1267</v>
      </c>
      <c r="G205" s="558">
        <f>+H205+N205</f>
        <v>0</v>
      </c>
      <c r="H205" s="559">
        <f>+I205+J205+K205+L205+M205</f>
        <v>0</v>
      </c>
      <c r="I205" s="1357"/>
      <c r="J205" s="1361"/>
      <c r="K205" s="1361"/>
      <c r="L205" s="1361"/>
      <c r="M205" s="1362"/>
      <c r="N205" s="559">
        <f>+O205+P205+Q205</f>
        <v>0</v>
      </c>
      <c r="O205" s="1360"/>
      <c r="P205" s="1361"/>
      <c r="Q205" s="1362"/>
      <c r="R205" s="925"/>
    </row>
    <row r="206" spans="1:18" s="564" customFormat="1">
      <c r="A206" s="618">
        <f t="shared" si="87"/>
        <v>39</v>
      </c>
      <c r="B206" s="945">
        <v>7</v>
      </c>
      <c r="C206" s="1342" t="s">
        <v>1023</v>
      </c>
      <c r="D206" s="1062" t="s">
        <v>1269</v>
      </c>
      <c r="E206" s="1341" t="s">
        <v>1245</v>
      </c>
      <c r="F206" s="1065" t="s">
        <v>1270</v>
      </c>
      <c r="G206" s="558">
        <f t="shared" si="84"/>
        <v>0</v>
      </c>
      <c r="H206" s="559">
        <f t="shared" si="85"/>
        <v>0</v>
      </c>
      <c r="I206" s="1357"/>
      <c r="J206" s="1361"/>
      <c r="K206" s="1361"/>
      <c r="L206" s="1361"/>
      <c r="M206" s="1362"/>
      <c r="N206" s="559">
        <f t="shared" si="86"/>
        <v>0</v>
      </c>
      <c r="O206" s="1360"/>
      <c r="P206" s="1361"/>
      <c r="Q206" s="1362"/>
      <c r="R206" s="925"/>
    </row>
    <row r="207" spans="1:18" s="564" customFormat="1">
      <c r="A207" s="618">
        <f t="shared" si="87"/>
        <v>40</v>
      </c>
      <c r="B207" s="945">
        <v>7</v>
      </c>
      <c r="C207" s="1342" t="s">
        <v>699</v>
      </c>
      <c r="D207" s="1062" t="s">
        <v>1172</v>
      </c>
      <c r="E207" s="1345" t="s">
        <v>1225</v>
      </c>
      <c r="F207" s="1065" t="s">
        <v>1173</v>
      </c>
      <c r="G207" s="558">
        <f>+H207+N207</f>
        <v>0</v>
      </c>
      <c r="H207" s="559">
        <f>+I207+J207+K207+L207+M207</f>
        <v>0</v>
      </c>
      <c r="I207" s="1357"/>
      <c r="J207" s="1361"/>
      <c r="K207" s="1361"/>
      <c r="L207" s="1361"/>
      <c r="M207" s="1362"/>
      <c r="N207" s="559">
        <f>+O207+P207+Q207</f>
        <v>0</v>
      </c>
      <c r="O207" s="1360"/>
      <c r="P207" s="1361"/>
      <c r="Q207" s="1362"/>
      <c r="R207" s="925"/>
    </row>
    <row r="208" spans="1:18" s="564" customFormat="1">
      <c r="A208" s="618">
        <f t="shared" si="87"/>
        <v>41</v>
      </c>
      <c r="B208" s="945">
        <v>8</v>
      </c>
      <c r="C208" s="1342" t="s">
        <v>1008</v>
      </c>
      <c r="D208" s="1062" t="s">
        <v>1009</v>
      </c>
      <c r="E208" s="1341" t="s">
        <v>1225</v>
      </c>
      <c r="F208" s="1065" t="s">
        <v>1010</v>
      </c>
      <c r="G208" s="558">
        <f t="shared" si="84"/>
        <v>10000</v>
      </c>
      <c r="H208" s="559">
        <f t="shared" si="85"/>
        <v>10000</v>
      </c>
      <c r="I208" s="1357"/>
      <c r="J208" s="1361"/>
      <c r="K208" s="1361"/>
      <c r="L208" s="1361"/>
      <c r="M208" s="1362">
        <v>10000</v>
      </c>
      <c r="N208" s="559">
        <f t="shared" si="86"/>
        <v>0</v>
      </c>
      <c r="O208" s="1360"/>
      <c r="P208" s="1361"/>
      <c r="Q208" s="1362"/>
      <c r="R208" s="925"/>
    </row>
    <row r="209" spans="1:18" s="564" customFormat="1">
      <c r="A209" s="618">
        <f t="shared" si="87"/>
        <v>42</v>
      </c>
      <c r="B209" s="945">
        <v>8</v>
      </c>
      <c r="C209" s="1342" t="s">
        <v>1011</v>
      </c>
      <c r="D209" s="1062" t="s">
        <v>1012</v>
      </c>
      <c r="E209" s="1341" t="s">
        <v>1225</v>
      </c>
      <c r="F209" s="1065" t="s">
        <v>1012</v>
      </c>
      <c r="G209" s="558">
        <f>+H209+N209</f>
        <v>8832</v>
      </c>
      <c r="H209" s="559">
        <f>+I209+J209+K209+L209+M209</f>
        <v>8832</v>
      </c>
      <c r="I209" s="1357"/>
      <c r="J209" s="1361"/>
      <c r="K209" s="1361"/>
      <c r="L209" s="1361"/>
      <c r="M209" s="1362">
        <v>8832</v>
      </c>
      <c r="N209" s="559">
        <f>+O209+P209+Q209</f>
        <v>0</v>
      </c>
      <c r="O209" s="1360"/>
      <c r="P209" s="1361"/>
      <c r="Q209" s="1362"/>
      <c r="R209" s="925"/>
    </row>
    <row r="210" spans="1:18" s="564" customFormat="1">
      <c r="A210" s="618">
        <f t="shared" si="87"/>
        <v>43</v>
      </c>
      <c r="B210" s="945">
        <v>8</v>
      </c>
      <c r="C210" s="1342" t="s">
        <v>702</v>
      </c>
      <c r="D210" s="1062" t="s">
        <v>703</v>
      </c>
      <c r="E210" s="1341" t="s">
        <v>1231</v>
      </c>
      <c r="F210" s="1065" t="s">
        <v>703</v>
      </c>
      <c r="G210" s="558">
        <f t="shared" ref="G210:G218" si="88">+H210+N210</f>
        <v>0</v>
      </c>
      <c r="H210" s="559">
        <f t="shared" ref="H210:H218" si="89">+I210+J210+K210+L210+M210</f>
        <v>0</v>
      </c>
      <c r="I210" s="1357"/>
      <c r="J210" s="1361"/>
      <c r="K210" s="1361"/>
      <c r="L210" s="1361"/>
      <c r="M210" s="1362"/>
      <c r="N210" s="559">
        <f t="shared" ref="N210:N218" si="90">+O210+P210+Q210</f>
        <v>0</v>
      </c>
      <c r="O210" s="1360"/>
      <c r="P210" s="1361"/>
      <c r="Q210" s="1362"/>
      <c r="R210" s="925"/>
    </row>
    <row r="211" spans="1:18" s="564" customFormat="1">
      <c r="A211" s="618">
        <f t="shared" si="87"/>
        <v>44</v>
      </c>
      <c r="B211" s="945">
        <v>8</v>
      </c>
      <c r="C211" s="1342" t="s">
        <v>1015</v>
      </c>
      <c r="D211" s="1062" t="s">
        <v>1013</v>
      </c>
      <c r="E211" s="1341" t="s">
        <v>1233</v>
      </c>
      <c r="F211" s="1065" t="s">
        <v>1013</v>
      </c>
      <c r="G211" s="558">
        <f t="shared" si="88"/>
        <v>0</v>
      </c>
      <c r="H211" s="559">
        <f t="shared" si="89"/>
        <v>0</v>
      </c>
      <c r="I211" s="1357"/>
      <c r="J211" s="1361"/>
      <c r="K211" s="1361"/>
      <c r="L211" s="1361"/>
      <c r="M211" s="1362"/>
      <c r="N211" s="559">
        <f t="shared" si="90"/>
        <v>0</v>
      </c>
      <c r="O211" s="1360"/>
      <c r="P211" s="1361"/>
      <c r="Q211" s="1362"/>
      <c r="R211" s="925"/>
    </row>
    <row r="212" spans="1:18" s="564" customFormat="1">
      <c r="A212" s="618">
        <f t="shared" si="87"/>
        <v>45</v>
      </c>
      <c r="B212" s="945">
        <v>8</v>
      </c>
      <c r="C212" s="1342" t="s">
        <v>1016</v>
      </c>
      <c r="D212" s="1062" t="s">
        <v>1014</v>
      </c>
      <c r="E212" s="1341" t="s">
        <v>1225</v>
      </c>
      <c r="F212" s="1065" t="s">
        <v>1017</v>
      </c>
      <c r="G212" s="558">
        <f t="shared" si="88"/>
        <v>0</v>
      </c>
      <c r="H212" s="559">
        <f t="shared" si="89"/>
        <v>0</v>
      </c>
      <c r="I212" s="1357"/>
      <c r="J212" s="1361"/>
      <c r="K212" s="1361"/>
      <c r="L212" s="1361"/>
      <c r="M212" s="1362"/>
      <c r="N212" s="559">
        <f t="shared" si="90"/>
        <v>0</v>
      </c>
      <c r="O212" s="1360"/>
      <c r="P212" s="1361"/>
      <c r="Q212" s="1362"/>
      <c r="R212" s="925"/>
    </row>
    <row r="213" spans="1:18" s="564" customFormat="1">
      <c r="A213" s="618">
        <f t="shared" si="87"/>
        <v>46</v>
      </c>
      <c r="B213" s="946">
        <v>8</v>
      </c>
      <c r="C213" s="1343" t="s">
        <v>1018</v>
      </c>
      <c r="D213" s="1068" t="s">
        <v>1019</v>
      </c>
      <c r="E213" s="1344" t="s">
        <v>1225</v>
      </c>
      <c r="F213" s="1069" t="s">
        <v>1019</v>
      </c>
      <c r="G213" s="558">
        <f t="shared" si="88"/>
        <v>0</v>
      </c>
      <c r="H213" s="559">
        <f t="shared" si="89"/>
        <v>0</v>
      </c>
      <c r="I213" s="1357"/>
      <c r="J213" s="1361"/>
      <c r="K213" s="1361"/>
      <c r="L213" s="1361"/>
      <c r="M213" s="1362"/>
      <c r="N213" s="559">
        <f t="shared" si="90"/>
        <v>0</v>
      </c>
      <c r="O213" s="1360"/>
      <c r="P213" s="1361"/>
      <c r="Q213" s="1362"/>
      <c r="R213" s="925"/>
    </row>
    <row r="214" spans="1:18" s="564" customFormat="1">
      <c r="A214" s="618">
        <f t="shared" si="87"/>
        <v>47</v>
      </c>
      <c r="B214" s="946">
        <v>8</v>
      </c>
      <c r="C214" s="1343" t="s">
        <v>730</v>
      </c>
      <c r="D214" s="1068" t="s">
        <v>728</v>
      </c>
      <c r="E214" s="1344" t="s">
        <v>1234</v>
      </c>
      <c r="F214" s="1069" t="s">
        <v>657</v>
      </c>
      <c r="G214" s="558">
        <f t="shared" si="88"/>
        <v>15531</v>
      </c>
      <c r="H214" s="559">
        <f t="shared" si="89"/>
        <v>15531</v>
      </c>
      <c r="I214" s="1357"/>
      <c r="J214" s="1361"/>
      <c r="K214" s="1361">
        <v>531</v>
      </c>
      <c r="L214" s="1361"/>
      <c r="M214" s="1362">
        <v>15000</v>
      </c>
      <c r="N214" s="559">
        <f t="shared" si="90"/>
        <v>0</v>
      </c>
      <c r="O214" s="1360"/>
      <c r="P214" s="1361"/>
      <c r="Q214" s="1362"/>
      <c r="R214" s="925"/>
    </row>
    <row r="215" spans="1:18" s="564" customFormat="1">
      <c r="A215" s="618">
        <f t="shared" si="87"/>
        <v>48</v>
      </c>
      <c r="B215" s="946">
        <v>8</v>
      </c>
      <c r="C215" s="1343" t="s">
        <v>731</v>
      </c>
      <c r="D215" s="1068" t="s">
        <v>729</v>
      </c>
      <c r="E215" s="1344" t="s">
        <v>1225</v>
      </c>
      <c r="F215" s="1069" t="s">
        <v>653</v>
      </c>
      <c r="G215" s="558">
        <f t="shared" si="88"/>
        <v>16850</v>
      </c>
      <c r="H215" s="559">
        <f t="shared" si="89"/>
        <v>16850</v>
      </c>
      <c r="I215" s="1357"/>
      <c r="J215" s="1361"/>
      <c r="K215" s="1361"/>
      <c r="L215" s="1361"/>
      <c r="M215" s="1362">
        <v>16850</v>
      </c>
      <c r="N215" s="559">
        <f t="shared" si="90"/>
        <v>0</v>
      </c>
      <c r="O215" s="1360"/>
      <c r="P215" s="1361"/>
      <c r="Q215" s="1362"/>
      <c r="R215" s="925"/>
    </row>
    <row r="216" spans="1:18" s="564" customFormat="1">
      <c r="A216" s="618">
        <f t="shared" si="87"/>
        <v>49</v>
      </c>
      <c r="B216" s="946">
        <v>8</v>
      </c>
      <c r="C216" s="1343" t="s">
        <v>1020</v>
      </c>
      <c r="D216" s="1068" t="s">
        <v>1021</v>
      </c>
      <c r="E216" s="1344" t="s">
        <v>1225</v>
      </c>
      <c r="F216" s="1069" t="s">
        <v>1021</v>
      </c>
      <c r="G216" s="558">
        <f t="shared" si="88"/>
        <v>0</v>
      </c>
      <c r="H216" s="559">
        <f t="shared" si="89"/>
        <v>0</v>
      </c>
      <c r="I216" s="1357"/>
      <c r="J216" s="1361"/>
      <c r="K216" s="1361"/>
      <c r="L216" s="1361"/>
      <c r="M216" s="1362"/>
      <c r="N216" s="559">
        <f t="shared" si="90"/>
        <v>0</v>
      </c>
      <c r="O216" s="1360"/>
      <c r="P216" s="1361"/>
      <c r="Q216" s="1362"/>
      <c r="R216" s="925"/>
    </row>
    <row r="217" spans="1:18" s="564" customFormat="1">
      <c r="A217" s="618">
        <f t="shared" si="87"/>
        <v>50</v>
      </c>
      <c r="B217" s="946">
        <v>6</v>
      </c>
      <c r="C217" s="1343" t="s">
        <v>679</v>
      </c>
      <c r="D217" s="1068" t="s">
        <v>678</v>
      </c>
      <c r="E217" s="1344" t="s">
        <v>1225</v>
      </c>
      <c r="F217" s="1069" t="s">
        <v>1031</v>
      </c>
      <c r="G217" s="558">
        <f t="shared" si="88"/>
        <v>2400</v>
      </c>
      <c r="H217" s="559">
        <f t="shared" si="89"/>
        <v>2400</v>
      </c>
      <c r="I217" s="1357"/>
      <c r="J217" s="1361"/>
      <c r="K217" s="1361"/>
      <c r="L217" s="1361">
        <v>2400</v>
      </c>
      <c r="M217" s="1362"/>
      <c r="N217" s="559">
        <f t="shared" si="90"/>
        <v>0</v>
      </c>
      <c r="O217" s="1360"/>
      <c r="P217" s="1361"/>
      <c r="Q217" s="1362"/>
      <c r="R217" s="925"/>
    </row>
    <row r="218" spans="1:18" s="564" customFormat="1">
      <c r="A218" s="618">
        <f t="shared" si="87"/>
        <v>51</v>
      </c>
      <c r="B218" s="946">
        <v>6</v>
      </c>
      <c r="C218" s="1343" t="s">
        <v>685</v>
      </c>
      <c r="D218" s="1068" t="s">
        <v>684</v>
      </c>
      <c r="E218" s="1344" t="s">
        <v>1225</v>
      </c>
      <c r="F218" s="1069" t="s">
        <v>1033</v>
      </c>
      <c r="G218" s="558">
        <f t="shared" si="88"/>
        <v>1200</v>
      </c>
      <c r="H218" s="559">
        <f t="shared" si="89"/>
        <v>1200</v>
      </c>
      <c r="I218" s="1357"/>
      <c r="J218" s="1361"/>
      <c r="K218" s="1361"/>
      <c r="L218" s="1361">
        <v>1200</v>
      </c>
      <c r="M218" s="1362"/>
      <c r="N218" s="559">
        <f t="shared" si="90"/>
        <v>0</v>
      </c>
      <c r="O218" s="1360"/>
      <c r="P218" s="1361"/>
      <c r="Q218" s="1362"/>
      <c r="R218" s="925"/>
    </row>
    <row r="219" spans="1:18" s="564" customFormat="1">
      <c r="A219" s="618">
        <f t="shared" si="87"/>
        <v>52</v>
      </c>
      <c r="B219" s="946">
        <v>6</v>
      </c>
      <c r="C219" s="1343" t="s">
        <v>1030</v>
      </c>
      <c r="D219" s="1068" t="s">
        <v>1029</v>
      </c>
      <c r="E219" s="1344" t="s">
        <v>1235</v>
      </c>
      <c r="F219" s="1069" t="s">
        <v>1029</v>
      </c>
      <c r="G219" s="558">
        <f>+H219+N219</f>
        <v>0</v>
      </c>
      <c r="H219" s="559">
        <f>+I219+J219+K219+L219+M219</f>
        <v>0</v>
      </c>
      <c r="I219" s="1357"/>
      <c r="J219" s="1361"/>
      <c r="K219" s="1361"/>
      <c r="L219" s="1361"/>
      <c r="M219" s="1362"/>
      <c r="N219" s="559">
        <f>+O219+P219+Q219</f>
        <v>0</v>
      </c>
      <c r="O219" s="1360"/>
      <c r="P219" s="1361"/>
      <c r="Q219" s="1362"/>
      <c r="R219" s="925"/>
    </row>
    <row r="220" spans="1:18" s="564" customFormat="1">
      <c r="A220" s="618">
        <f t="shared" si="87"/>
        <v>53</v>
      </c>
      <c r="B220" s="946">
        <v>6</v>
      </c>
      <c r="C220" s="1343" t="s">
        <v>681</v>
      </c>
      <c r="D220" s="1068" t="s">
        <v>680</v>
      </c>
      <c r="E220" s="1344" t="s">
        <v>1225</v>
      </c>
      <c r="F220" s="1069" t="s">
        <v>637</v>
      </c>
      <c r="G220" s="558">
        <f t="shared" si="84"/>
        <v>0</v>
      </c>
      <c r="H220" s="559">
        <f t="shared" si="85"/>
        <v>0</v>
      </c>
      <c r="I220" s="1357"/>
      <c r="J220" s="1361"/>
      <c r="K220" s="1361"/>
      <c r="L220" s="1361"/>
      <c r="M220" s="1362"/>
      <c r="N220" s="559">
        <f t="shared" si="86"/>
        <v>0</v>
      </c>
      <c r="O220" s="1360"/>
      <c r="P220" s="1361"/>
      <c r="Q220" s="1362"/>
      <c r="R220" s="925"/>
    </row>
    <row r="221" spans="1:18" s="564" customFormat="1">
      <c r="A221" s="618">
        <f t="shared" si="87"/>
        <v>54</v>
      </c>
      <c r="B221" s="946">
        <v>6</v>
      </c>
      <c r="C221" s="1343" t="s">
        <v>681</v>
      </c>
      <c r="D221" s="1068" t="s">
        <v>680</v>
      </c>
      <c r="E221" s="1344" t="s">
        <v>1225</v>
      </c>
      <c r="F221" s="1069" t="s">
        <v>638</v>
      </c>
      <c r="G221" s="558">
        <f t="shared" si="84"/>
        <v>0</v>
      </c>
      <c r="H221" s="559">
        <f t="shared" si="85"/>
        <v>0</v>
      </c>
      <c r="I221" s="1357"/>
      <c r="J221" s="1361"/>
      <c r="K221" s="1361"/>
      <c r="L221" s="1361"/>
      <c r="M221" s="1362"/>
      <c r="N221" s="559">
        <f t="shared" si="86"/>
        <v>0</v>
      </c>
      <c r="O221" s="1360"/>
      <c r="P221" s="1361"/>
      <c r="Q221" s="1362"/>
      <c r="R221" s="925"/>
    </row>
    <row r="222" spans="1:18" s="564" customFormat="1">
      <c r="A222" s="618">
        <f t="shared" si="87"/>
        <v>55</v>
      </c>
      <c r="B222" s="947">
        <v>6</v>
      </c>
      <c r="C222" s="1343" t="s">
        <v>681</v>
      </c>
      <c r="D222" s="1068" t="s">
        <v>680</v>
      </c>
      <c r="E222" s="1344" t="s">
        <v>1225</v>
      </c>
      <c r="F222" s="1069" t="s">
        <v>639</v>
      </c>
      <c r="G222" s="558">
        <f t="shared" si="84"/>
        <v>2700</v>
      </c>
      <c r="H222" s="559">
        <f t="shared" si="85"/>
        <v>2700</v>
      </c>
      <c r="I222" s="1357"/>
      <c r="J222" s="1361"/>
      <c r="K222" s="1361"/>
      <c r="L222" s="1361">
        <v>2700</v>
      </c>
      <c r="M222" s="1362"/>
      <c r="N222" s="559">
        <f t="shared" si="86"/>
        <v>0</v>
      </c>
      <c r="O222" s="1360"/>
      <c r="P222" s="1361"/>
      <c r="Q222" s="1362"/>
      <c r="R222" s="925"/>
    </row>
    <row r="223" spans="1:18" s="564" customFormat="1">
      <c r="A223" s="618">
        <f t="shared" si="87"/>
        <v>56</v>
      </c>
      <c r="B223" s="947">
        <v>7</v>
      </c>
      <c r="C223" s="1343" t="s">
        <v>1259</v>
      </c>
      <c r="D223" s="1068" t="s">
        <v>1272</v>
      </c>
      <c r="E223" s="1344" t="s">
        <v>1225</v>
      </c>
      <c r="F223" s="1069" t="s">
        <v>1271</v>
      </c>
      <c r="G223" s="558">
        <f t="shared" si="84"/>
        <v>0</v>
      </c>
      <c r="H223" s="559">
        <f t="shared" si="85"/>
        <v>0</v>
      </c>
      <c r="I223" s="1357"/>
      <c r="J223" s="1361"/>
      <c r="K223" s="1361"/>
      <c r="L223" s="1361"/>
      <c r="M223" s="1362"/>
      <c r="N223" s="559">
        <f t="shared" si="86"/>
        <v>0</v>
      </c>
      <c r="O223" s="1360"/>
      <c r="P223" s="1361"/>
      <c r="Q223" s="1362"/>
      <c r="R223" s="925"/>
    </row>
    <row r="224" spans="1:18" s="564" customFormat="1">
      <c r="A224" s="618">
        <f t="shared" si="87"/>
        <v>57</v>
      </c>
      <c r="B224" s="947">
        <v>8</v>
      </c>
      <c r="C224" s="1343" t="s">
        <v>1037</v>
      </c>
      <c r="D224" s="1068" t="s">
        <v>1039</v>
      </c>
      <c r="E224" s="1344" t="s">
        <v>1225</v>
      </c>
      <c r="F224" s="1069" t="s">
        <v>1038</v>
      </c>
      <c r="G224" s="558">
        <f t="shared" si="84"/>
        <v>2000</v>
      </c>
      <c r="H224" s="559">
        <f t="shared" si="85"/>
        <v>2000</v>
      </c>
      <c r="I224" s="1357"/>
      <c r="J224" s="1361"/>
      <c r="K224" s="1361">
        <v>2000</v>
      </c>
      <c r="L224" s="1361"/>
      <c r="M224" s="1362"/>
      <c r="N224" s="559">
        <f t="shared" si="86"/>
        <v>0</v>
      </c>
      <c r="O224" s="1360"/>
      <c r="P224" s="1361"/>
      <c r="Q224" s="1362"/>
      <c r="R224" s="925"/>
    </row>
    <row r="225" spans="1:18" s="564" customFormat="1">
      <c r="A225" s="618">
        <f t="shared" si="87"/>
        <v>58</v>
      </c>
      <c r="B225" s="947">
        <v>6</v>
      </c>
      <c r="C225" s="1343" t="s">
        <v>1057</v>
      </c>
      <c r="D225" s="1068" t="s">
        <v>1059</v>
      </c>
      <c r="E225" s="1344" t="s">
        <v>1236</v>
      </c>
      <c r="F225" s="1069" t="s">
        <v>1059</v>
      </c>
      <c r="G225" s="558">
        <f t="shared" si="84"/>
        <v>0</v>
      </c>
      <c r="H225" s="559">
        <f t="shared" si="85"/>
        <v>0</v>
      </c>
      <c r="I225" s="1357"/>
      <c r="J225" s="1361"/>
      <c r="K225" s="1361"/>
      <c r="L225" s="1361"/>
      <c r="M225" s="1362"/>
      <c r="N225" s="559">
        <f t="shared" si="86"/>
        <v>0</v>
      </c>
      <c r="O225" s="1360"/>
      <c r="P225" s="1361"/>
      <c r="Q225" s="1362"/>
      <c r="R225" s="925"/>
    </row>
    <row r="226" spans="1:18" s="564" customFormat="1">
      <c r="A226" s="618">
        <f t="shared" si="87"/>
        <v>59</v>
      </c>
      <c r="B226" s="947">
        <v>6</v>
      </c>
      <c r="C226" s="1343" t="s">
        <v>676</v>
      </c>
      <c r="D226" s="1068" t="s">
        <v>677</v>
      </c>
      <c r="E226" s="1344" t="s">
        <v>1225</v>
      </c>
      <c r="F226" s="1069" t="s">
        <v>1032</v>
      </c>
      <c r="G226" s="558">
        <f t="shared" si="84"/>
        <v>19200</v>
      </c>
      <c r="H226" s="559">
        <f t="shared" si="85"/>
        <v>19200</v>
      </c>
      <c r="I226" s="1357"/>
      <c r="J226" s="1361"/>
      <c r="K226" s="1361"/>
      <c r="L226" s="1361">
        <v>19200</v>
      </c>
      <c r="M226" s="1362"/>
      <c r="N226" s="559">
        <f t="shared" si="86"/>
        <v>0</v>
      </c>
      <c r="O226" s="1360"/>
      <c r="P226" s="1361"/>
      <c r="Q226" s="1362"/>
      <c r="R226" s="925"/>
    </row>
    <row r="227" spans="1:18" s="564" customFormat="1">
      <c r="A227" s="618">
        <f t="shared" si="87"/>
        <v>60</v>
      </c>
      <c r="B227" s="947">
        <v>6</v>
      </c>
      <c r="C227" s="1343" t="s">
        <v>682</v>
      </c>
      <c r="D227" s="1068" t="s">
        <v>683</v>
      </c>
      <c r="E227" s="1344" t="s">
        <v>1225</v>
      </c>
      <c r="F227" s="1069" t="s">
        <v>1034</v>
      </c>
      <c r="G227" s="558">
        <f t="shared" si="84"/>
        <v>22855</v>
      </c>
      <c r="H227" s="559">
        <f t="shared" si="85"/>
        <v>22855</v>
      </c>
      <c r="I227" s="1357"/>
      <c r="J227" s="1361"/>
      <c r="K227" s="1361"/>
      <c r="L227" s="1361">
        <v>22855</v>
      </c>
      <c r="M227" s="1362"/>
      <c r="N227" s="559">
        <f t="shared" si="86"/>
        <v>0</v>
      </c>
      <c r="O227" s="1360"/>
      <c r="P227" s="1361"/>
      <c r="Q227" s="1362"/>
      <c r="R227" s="925"/>
    </row>
    <row r="228" spans="1:18" s="564" customFormat="1">
      <c r="A228" s="618">
        <f t="shared" si="87"/>
        <v>61</v>
      </c>
      <c r="B228" s="947">
        <v>6</v>
      </c>
      <c r="C228" s="1343" t="s">
        <v>682</v>
      </c>
      <c r="D228" s="1068" t="s">
        <v>689</v>
      </c>
      <c r="E228" s="1344" t="s">
        <v>1225</v>
      </c>
      <c r="F228" s="1069" t="s">
        <v>640</v>
      </c>
      <c r="G228" s="558">
        <f t="shared" ref="G228" si="91">+H228+N228</f>
        <v>1000</v>
      </c>
      <c r="H228" s="559">
        <f t="shared" ref="H228" si="92">+I228+J228+K228+L228+M228</f>
        <v>1000</v>
      </c>
      <c r="I228" s="1357"/>
      <c r="J228" s="1361"/>
      <c r="K228" s="1361"/>
      <c r="L228" s="1361">
        <v>1000</v>
      </c>
      <c r="M228" s="1362"/>
      <c r="N228" s="559">
        <f t="shared" ref="N228" si="93">+O228+P228+Q228</f>
        <v>0</v>
      </c>
      <c r="O228" s="1360"/>
      <c r="P228" s="1361"/>
      <c r="Q228" s="1362"/>
      <c r="R228" s="925"/>
    </row>
    <row r="229" spans="1:18" s="564" customFormat="1">
      <c r="A229" s="618">
        <f t="shared" si="87"/>
        <v>62</v>
      </c>
      <c r="B229" s="947">
        <v>7</v>
      </c>
      <c r="C229" s="1343" t="s">
        <v>704</v>
      </c>
      <c r="D229" s="1068" t="s">
        <v>1280</v>
      </c>
      <c r="E229" s="1344" t="s">
        <v>1228</v>
      </c>
      <c r="F229" s="1069" t="s">
        <v>1281</v>
      </c>
      <c r="G229" s="558">
        <f t="shared" si="84"/>
        <v>0</v>
      </c>
      <c r="H229" s="559">
        <f t="shared" si="85"/>
        <v>0</v>
      </c>
      <c r="I229" s="1357"/>
      <c r="J229" s="1361"/>
      <c r="K229" s="1361"/>
      <c r="L229" s="1361"/>
      <c r="M229" s="1362"/>
      <c r="N229" s="559">
        <f t="shared" si="86"/>
        <v>0</v>
      </c>
      <c r="O229" s="1360"/>
      <c r="P229" s="1361"/>
      <c r="Q229" s="1362"/>
      <c r="R229" s="925"/>
    </row>
    <row r="230" spans="1:18" s="564" customFormat="1">
      <c r="A230" s="618">
        <f t="shared" si="87"/>
        <v>63</v>
      </c>
      <c r="B230" s="947">
        <v>7</v>
      </c>
      <c r="C230" s="1343" t="s">
        <v>1254</v>
      </c>
      <c r="D230" s="1068" t="s">
        <v>1252</v>
      </c>
      <c r="E230" s="1344" t="s">
        <v>1225</v>
      </c>
      <c r="F230" s="1069" t="s">
        <v>1282</v>
      </c>
      <c r="G230" s="558">
        <f t="shared" ref="G230" si="94">+H230+N230</f>
        <v>0</v>
      </c>
      <c r="H230" s="559">
        <f t="shared" ref="H230" si="95">+I230+J230+K230+L230+M230</f>
        <v>0</v>
      </c>
      <c r="I230" s="1357"/>
      <c r="J230" s="1361"/>
      <c r="K230" s="1361"/>
      <c r="L230" s="1361"/>
      <c r="M230" s="1362"/>
      <c r="N230" s="559">
        <f t="shared" ref="N230" si="96">+O230+P230+Q230</f>
        <v>0</v>
      </c>
      <c r="O230" s="1360"/>
      <c r="P230" s="1361"/>
      <c r="Q230" s="1362"/>
      <c r="R230" s="925"/>
    </row>
    <row r="231" spans="1:18" s="564" customFormat="1">
      <c r="A231" s="618">
        <f t="shared" si="87"/>
        <v>64</v>
      </c>
      <c r="B231" s="947">
        <v>7</v>
      </c>
      <c r="C231" s="1343" t="s">
        <v>1259</v>
      </c>
      <c r="D231" s="1068" t="s">
        <v>1284</v>
      </c>
      <c r="E231" s="1344" t="s">
        <v>1225</v>
      </c>
      <c r="F231" s="1069" t="s">
        <v>1283</v>
      </c>
      <c r="G231" s="558">
        <f t="shared" si="84"/>
        <v>0</v>
      </c>
      <c r="H231" s="559">
        <f t="shared" si="85"/>
        <v>0</v>
      </c>
      <c r="I231" s="1357"/>
      <c r="J231" s="1361"/>
      <c r="K231" s="1361"/>
      <c r="L231" s="1361"/>
      <c r="M231" s="1362"/>
      <c r="N231" s="559">
        <f t="shared" si="86"/>
        <v>0</v>
      </c>
      <c r="O231" s="1360"/>
      <c r="P231" s="1361"/>
      <c r="Q231" s="1362"/>
      <c r="R231" s="925"/>
    </row>
    <row r="232" spans="1:18" s="564" customFormat="1">
      <c r="A232" s="618">
        <f t="shared" si="87"/>
        <v>65</v>
      </c>
      <c r="B232" s="947">
        <v>7</v>
      </c>
      <c r="C232" s="1343" t="s">
        <v>1285</v>
      </c>
      <c r="D232" s="1068" t="s">
        <v>1286</v>
      </c>
      <c r="E232" s="1344" t="s">
        <v>1225</v>
      </c>
      <c r="F232" s="1069" t="s">
        <v>1287</v>
      </c>
      <c r="G232" s="558">
        <f t="shared" ref="G232" si="97">+H232+N232</f>
        <v>0</v>
      </c>
      <c r="H232" s="559">
        <f t="shared" ref="H232" si="98">+I232+J232+K232+L232+M232</f>
        <v>0</v>
      </c>
      <c r="I232" s="1357"/>
      <c r="J232" s="1361"/>
      <c r="K232" s="1361"/>
      <c r="L232" s="1361"/>
      <c r="M232" s="1362"/>
      <c r="N232" s="559">
        <f t="shared" ref="N232" si="99">+O232+P232+Q232</f>
        <v>0</v>
      </c>
      <c r="O232" s="1360"/>
      <c r="P232" s="1361"/>
      <c r="Q232" s="1362"/>
      <c r="R232" s="925"/>
    </row>
    <row r="233" spans="1:18" s="564" customFormat="1">
      <c r="A233" s="618">
        <f t="shared" si="87"/>
        <v>66</v>
      </c>
      <c r="B233" s="947">
        <v>7</v>
      </c>
      <c r="C233" s="1343" t="s">
        <v>1288</v>
      </c>
      <c r="D233" s="1068" t="s">
        <v>1289</v>
      </c>
      <c r="E233" s="1344" t="s">
        <v>1225</v>
      </c>
      <c r="F233" s="1069" t="s">
        <v>1294</v>
      </c>
      <c r="G233" s="558">
        <f t="shared" si="84"/>
        <v>0</v>
      </c>
      <c r="H233" s="559">
        <f t="shared" si="85"/>
        <v>0</v>
      </c>
      <c r="I233" s="1357"/>
      <c r="J233" s="1361"/>
      <c r="K233" s="1361"/>
      <c r="L233" s="1361"/>
      <c r="M233" s="1362"/>
      <c r="N233" s="559">
        <f t="shared" si="86"/>
        <v>0</v>
      </c>
      <c r="O233" s="1360"/>
      <c r="P233" s="1361"/>
      <c r="Q233" s="1362"/>
      <c r="R233" s="925"/>
    </row>
    <row r="234" spans="1:18" s="564" customFormat="1">
      <c r="A234" s="618">
        <f t="shared" si="87"/>
        <v>67</v>
      </c>
      <c r="B234" s="947">
        <v>7</v>
      </c>
      <c r="C234" s="1343" t="s">
        <v>1290</v>
      </c>
      <c r="D234" s="1068" t="s">
        <v>1291</v>
      </c>
      <c r="E234" s="1344" t="s">
        <v>1292</v>
      </c>
      <c r="F234" s="1069" t="s">
        <v>1293</v>
      </c>
      <c r="G234" s="558">
        <f t="shared" ref="G234" si="100">+H234+N234</f>
        <v>0</v>
      </c>
      <c r="H234" s="559">
        <f t="shared" ref="H234" si="101">+I234+J234+K234+L234+M234</f>
        <v>0</v>
      </c>
      <c r="I234" s="1357"/>
      <c r="J234" s="1361"/>
      <c r="K234" s="1361"/>
      <c r="L234" s="1361"/>
      <c r="M234" s="1362"/>
      <c r="N234" s="559">
        <f t="shared" ref="N234" si="102">+O234+P234+Q234</f>
        <v>0</v>
      </c>
      <c r="O234" s="1360"/>
      <c r="P234" s="1361"/>
      <c r="Q234" s="1362"/>
      <c r="R234" s="925"/>
    </row>
    <row r="235" spans="1:18" s="564" customFormat="1">
      <c r="A235" s="618">
        <f t="shared" si="87"/>
        <v>68</v>
      </c>
      <c r="B235" s="947">
        <v>7</v>
      </c>
      <c r="C235" s="1343" t="s">
        <v>1037</v>
      </c>
      <c r="D235" s="1068" t="s">
        <v>1295</v>
      </c>
      <c r="E235" s="1344" t="s">
        <v>1225</v>
      </c>
      <c r="F235" s="1069" t="s">
        <v>1296</v>
      </c>
      <c r="G235" s="558">
        <f t="shared" si="84"/>
        <v>0</v>
      </c>
      <c r="H235" s="559">
        <f t="shared" si="85"/>
        <v>0</v>
      </c>
      <c r="I235" s="1357"/>
      <c r="J235" s="1361"/>
      <c r="K235" s="1361"/>
      <c r="L235" s="1361"/>
      <c r="M235" s="1362"/>
      <c r="N235" s="559">
        <f t="shared" si="86"/>
        <v>0</v>
      </c>
      <c r="O235" s="1360"/>
      <c r="P235" s="1361"/>
      <c r="Q235" s="1362"/>
      <c r="R235" s="925"/>
    </row>
    <row r="236" spans="1:18" s="564" customFormat="1">
      <c r="A236" s="618">
        <f t="shared" si="87"/>
        <v>69</v>
      </c>
      <c r="B236" s="947">
        <v>7</v>
      </c>
      <c r="C236" s="1343" t="s">
        <v>1254</v>
      </c>
      <c r="D236" s="1068" t="s">
        <v>1252</v>
      </c>
      <c r="E236" s="1344" t="s">
        <v>1225</v>
      </c>
      <c r="F236" s="1069" t="s">
        <v>1297</v>
      </c>
      <c r="G236" s="558">
        <f t="shared" ref="G236" si="103">+H236+N236</f>
        <v>0</v>
      </c>
      <c r="H236" s="559">
        <f t="shared" ref="H236" si="104">+I236+J236+K236+L236+M236</f>
        <v>0</v>
      </c>
      <c r="I236" s="1357"/>
      <c r="J236" s="1361"/>
      <c r="K236" s="1361"/>
      <c r="L236" s="1361"/>
      <c r="M236" s="1362"/>
      <c r="N236" s="559">
        <f t="shared" ref="N236" si="105">+O236+P236+Q236</f>
        <v>0</v>
      </c>
      <c r="O236" s="1360"/>
      <c r="P236" s="1361"/>
      <c r="Q236" s="1362"/>
      <c r="R236" s="925"/>
    </row>
    <row r="237" spans="1:18" s="564" customFormat="1">
      <c r="A237" s="618">
        <f t="shared" si="87"/>
        <v>70</v>
      </c>
      <c r="B237" s="947">
        <v>7</v>
      </c>
      <c r="C237" s="1343" t="s">
        <v>1298</v>
      </c>
      <c r="D237" s="1068" t="s">
        <v>1300</v>
      </c>
      <c r="E237" s="1344" t="s">
        <v>1225</v>
      </c>
      <c r="F237" s="1069" t="s">
        <v>1299</v>
      </c>
      <c r="G237" s="558">
        <f t="shared" si="84"/>
        <v>0</v>
      </c>
      <c r="H237" s="559">
        <f t="shared" si="85"/>
        <v>0</v>
      </c>
      <c r="I237" s="1357"/>
      <c r="J237" s="1361"/>
      <c r="K237" s="1361"/>
      <c r="L237" s="1361"/>
      <c r="M237" s="1362"/>
      <c r="N237" s="559">
        <f t="shared" si="86"/>
        <v>0</v>
      </c>
      <c r="O237" s="1360"/>
      <c r="P237" s="1361"/>
      <c r="Q237" s="1362"/>
      <c r="R237" s="925"/>
    </row>
    <row r="238" spans="1:18" s="564" customFormat="1">
      <c r="A238" s="618">
        <f t="shared" si="87"/>
        <v>71</v>
      </c>
      <c r="B238" s="947">
        <v>7</v>
      </c>
      <c r="C238" s="1343" t="s">
        <v>1259</v>
      </c>
      <c r="D238" s="1068" t="s">
        <v>1260</v>
      </c>
      <c r="E238" s="1344" t="s">
        <v>1225</v>
      </c>
      <c r="F238" s="1069" t="s">
        <v>1301</v>
      </c>
      <c r="G238" s="558">
        <f t="shared" ref="G238" si="106">+H238+N238</f>
        <v>0</v>
      </c>
      <c r="H238" s="559">
        <f t="shared" ref="H238" si="107">+I238+J238+K238+L238+M238</f>
        <v>0</v>
      </c>
      <c r="I238" s="1357"/>
      <c r="J238" s="1361"/>
      <c r="K238" s="1361"/>
      <c r="L238" s="1361"/>
      <c r="M238" s="1362"/>
      <c r="N238" s="559">
        <f t="shared" ref="N238" si="108">+O238+P238+Q238</f>
        <v>0</v>
      </c>
      <c r="O238" s="1360"/>
      <c r="P238" s="1361"/>
      <c r="Q238" s="1362"/>
      <c r="R238" s="925"/>
    </row>
    <row r="239" spans="1:18" s="564" customFormat="1">
      <c r="A239" s="618">
        <f t="shared" si="87"/>
        <v>72</v>
      </c>
      <c r="B239" s="947">
        <v>7</v>
      </c>
      <c r="C239" s="1343" t="s">
        <v>1288</v>
      </c>
      <c r="D239" s="1068" t="s">
        <v>1302</v>
      </c>
      <c r="E239" s="1344" t="s">
        <v>1225</v>
      </c>
      <c r="F239" s="1069" t="s">
        <v>1303</v>
      </c>
      <c r="G239" s="558">
        <f t="shared" si="84"/>
        <v>0</v>
      </c>
      <c r="H239" s="559">
        <f t="shared" si="85"/>
        <v>0</v>
      </c>
      <c r="I239" s="1357"/>
      <c r="J239" s="1361"/>
      <c r="K239" s="1361"/>
      <c r="L239" s="1361"/>
      <c r="M239" s="1362"/>
      <c r="N239" s="559">
        <f t="shared" si="86"/>
        <v>0</v>
      </c>
      <c r="O239" s="1360"/>
      <c r="P239" s="1361"/>
      <c r="Q239" s="1362"/>
      <c r="R239" s="925"/>
    </row>
    <row r="240" spans="1:18" s="564" customFormat="1" ht="12.75" thickBot="1">
      <c r="A240" s="618">
        <f t="shared" si="87"/>
        <v>73</v>
      </c>
      <c r="B240" s="947">
        <v>8</v>
      </c>
      <c r="C240" s="1343" t="s">
        <v>671</v>
      </c>
      <c r="D240" s="1068" t="s">
        <v>670</v>
      </c>
      <c r="E240" s="1344" t="s">
        <v>1225</v>
      </c>
      <c r="F240" s="1069" t="s">
        <v>635</v>
      </c>
      <c r="G240" s="558">
        <f>+H240+N240</f>
        <v>2500</v>
      </c>
      <c r="H240" s="559">
        <f>+I240+J240+K240+L240+M240</f>
        <v>2500</v>
      </c>
      <c r="I240" s="1357"/>
      <c r="J240" s="1361"/>
      <c r="K240" s="1361">
        <v>2500</v>
      </c>
      <c r="L240" s="1361"/>
      <c r="M240" s="1362"/>
      <c r="N240" s="559">
        <f>+O240+P240+Q240</f>
        <v>0</v>
      </c>
      <c r="O240" s="1360"/>
      <c r="P240" s="1361"/>
      <c r="Q240" s="1362"/>
      <c r="R240" s="925"/>
    </row>
    <row r="241" spans="1:21" ht="12.75" thickBot="1">
      <c r="A241" s="614" t="s">
        <v>587</v>
      </c>
      <c r="B241" s="948"/>
      <c r="C241" s="1198" t="s">
        <v>410</v>
      </c>
      <c r="D241" s="1199"/>
      <c r="E241" s="1199"/>
      <c r="F241" s="1200"/>
      <c r="G241" s="566">
        <f t="shared" ref="G241:Q241" si="109">SUM(G168:G240)</f>
        <v>3170894</v>
      </c>
      <c r="H241" s="596">
        <f t="shared" si="109"/>
        <v>3028636</v>
      </c>
      <c r="I241" s="597">
        <f t="shared" si="109"/>
        <v>76485</v>
      </c>
      <c r="J241" s="598">
        <f t="shared" si="109"/>
        <v>10414</v>
      </c>
      <c r="K241" s="598">
        <f t="shared" si="109"/>
        <v>183775</v>
      </c>
      <c r="L241" s="598">
        <f t="shared" si="109"/>
        <v>49355</v>
      </c>
      <c r="M241" s="477">
        <f t="shared" si="109"/>
        <v>2708607</v>
      </c>
      <c r="N241" s="599">
        <f t="shared" si="109"/>
        <v>142258</v>
      </c>
      <c r="O241" s="597">
        <f t="shared" si="109"/>
        <v>75000</v>
      </c>
      <c r="P241" s="598">
        <f t="shared" si="109"/>
        <v>67258</v>
      </c>
      <c r="Q241" s="477">
        <f t="shared" si="109"/>
        <v>0</v>
      </c>
      <c r="R241" s="919"/>
    </row>
    <row r="242" spans="1:21">
      <c r="A242" s="618">
        <f>A240+1</f>
        <v>74</v>
      </c>
      <c r="B242" s="945">
        <v>9</v>
      </c>
      <c r="C242" s="1339" t="s">
        <v>1030</v>
      </c>
      <c r="D242" s="1066" t="s">
        <v>1029</v>
      </c>
      <c r="E242" s="1340" t="s">
        <v>1235</v>
      </c>
      <c r="F242" s="1346" t="s">
        <v>1097</v>
      </c>
      <c r="G242" s="558">
        <f t="shared" ref="G242:G247" si="110">+H242+N242</f>
        <v>1824</v>
      </c>
      <c r="H242" s="559">
        <f t="shared" ref="H242:H247" si="111">+I242+J242+K242+L242+M242</f>
        <v>1824</v>
      </c>
      <c r="I242" s="1357"/>
      <c r="J242" s="1358"/>
      <c r="K242" s="1358"/>
      <c r="L242" s="1358">
        <v>1824</v>
      </c>
      <c r="M242" s="1359"/>
      <c r="N242" s="559">
        <f t="shared" ref="N242:N247" si="112">+O242+P242+Q242</f>
        <v>0</v>
      </c>
      <c r="O242" s="1357"/>
      <c r="P242" s="1358"/>
      <c r="Q242" s="1359"/>
      <c r="R242" s="925"/>
    </row>
    <row r="243" spans="1:21">
      <c r="A243" s="618">
        <f>+A242+1</f>
        <v>75</v>
      </c>
      <c r="B243" s="946">
        <v>10</v>
      </c>
      <c r="C243" s="1342" t="s">
        <v>734</v>
      </c>
      <c r="D243" s="1062" t="s">
        <v>735</v>
      </c>
      <c r="E243" s="1341" t="s">
        <v>1225</v>
      </c>
      <c r="F243" s="1347" t="s">
        <v>656</v>
      </c>
      <c r="G243" s="558">
        <f t="shared" si="110"/>
        <v>0</v>
      </c>
      <c r="H243" s="559">
        <f t="shared" si="111"/>
        <v>0</v>
      </c>
      <c r="I243" s="1357"/>
      <c r="J243" s="1361"/>
      <c r="K243" s="1361"/>
      <c r="L243" s="1361"/>
      <c r="M243" s="1362"/>
      <c r="N243" s="559">
        <f t="shared" si="112"/>
        <v>0</v>
      </c>
      <c r="O243" s="1360"/>
      <c r="P243" s="1361"/>
      <c r="Q243" s="1362"/>
      <c r="R243" s="925"/>
    </row>
    <row r="244" spans="1:21">
      <c r="A244" s="618">
        <f t="shared" si="87"/>
        <v>76</v>
      </c>
      <c r="B244" s="945">
        <v>10</v>
      </c>
      <c r="C244" s="1339" t="s">
        <v>733</v>
      </c>
      <c r="D244" s="1066" t="s">
        <v>1022</v>
      </c>
      <c r="E244" s="1341" t="s">
        <v>1237</v>
      </c>
      <c r="F244" s="1348" t="s">
        <v>655</v>
      </c>
      <c r="G244" s="558">
        <f t="shared" si="110"/>
        <v>345250</v>
      </c>
      <c r="H244" s="559">
        <f t="shared" si="111"/>
        <v>0</v>
      </c>
      <c r="I244" s="1357"/>
      <c r="J244" s="1361"/>
      <c r="K244" s="1361"/>
      <c r="L244" s="1361"/>
      <c r="M244" s="1362"/>
      <c r="N244" s="559">
        <f t="shared" si="112"/>
        <v>345250</v>
      </c>
      <c r="O244" s="1360">
        <v>345250</v>
      </c>
      <c r="P244" s="1361"/>
      <c r="Q244" s="1362"/>
      <c r="R244" s="925"/>
    </row>
    <row r="245" spans="1:21" s="564" customFormat="1">
      <c r="A245" s="618">
        <f t="shared" ref="A245:A247" si="113">+A244+1</f>
        <v>77</v>
      </c>
      <c r="B245" s="946">
        <v>10</v>
      </c>
      <c r="C245" s="1342" t="s">
        <v>737</v>
      </c>
      <c r="D245" s="1062" t="s">
        <v>736</v>
      </c>
      <c r="E245" s="1341" t="s">
        <v>1225</v>
      </c>
      <c r="F245" s="1348" t="s">
        <v>664</v>
      </c>
      <c r="G245" s="558">
        <f t="shared" si="110"/>
        <v>1000</v>
      </c>
      <c r="H245" s="559">
        <f t="shared" si="111"/>
        <v>1000</v>
      </c>
      <c r="I245" s="1357"/>
      <c r="J245" s="1361"/>
      <c r="K245" s="1361"/>
      <c r="L245" s="1361"/>
      <c r="M245" s="1362">
        <v>1000</v>
      </c>
      <c r="N245" s="559">
        <f t="shared" si="112"/>
        <v>0</v>
      </c>
      <c r="O245" s="1360"/>
      <c r="P245" s="1361"/>
      <c r="Q245" s="1362"/>
      <c r="R245" s="925"/>
      <c r="S245" s="343"/>
      <c r="T245" s="343"/>
      <c r="U245" s="343"/>
    </row>
    <row r="246" spans="1:21">
      <c r="A246" s="618">
        <f t="shared" si="113"/>
        <v>78</v>
      </c>
      <c r="B246" s="945">
        <v>10</v>
      </c>
      <c r="C246" s="1339" t="s">
        <v>1035</v>
      </c>
      <c r="D246" s="1066" t="s">
        <v>1036</v>
      </c>
      <c r="E246" s="1341" t="s">
        <v>1225</v>
      </c>
      <c r="F246" s="1348" t="s">
        <v>654</v>
      </c>
      <c r="G246" s="558">
        <f t="shared" si="110"/>
        <v>2000</v>
      </c>
      <c r="H246" s="559">
        <f t="shared" si="111"/>
        <v>2000</v>
      </c>
      <c r="I246" s="1357"/>
      <c r="J246" s="1361"/>
      <c r="K246" s="1361">
        <v>2000</v>
      </c>
      <c r="L246" s="1361"/>
      <c r="M246" s="1362"/>
      <c r="N246" s="559">
        <f t="shared" si="112"/>
        <v>0</v>
      </c>
      <c r="O246" s="1360"/>
      <c r="P246" s="1361"/>
      <c r="Q246" s="1362"/>
      <c r="R246" s="925"/>
    </row>
    <row r="247" spans="1:21" ht="12.75" thickBot="1">
      <c r="A247" s="618">
        <f t="shared" si="113"/>
        <v>79</v>
      </c>
      <c r="B247" s="946">
        <v>9</v>
      </c>
      <c r="C247" s="1342" t="s">
        <v>687</v>
      </c>
      <c r="D247" s="1062" t="s">
        <v>688</v>
      </c>
      <c r="E247" s="1341" t="s">
        <v>1225</v>
      </c>
      <c r="F247" s="1348" t="s">
        <v>686</v>
      </c>
      <c r="G247" s="558">
        <f t="shared" si="110"/>
        <v>1600</v>
      </c>
      <c r="H247" s="559">
        <f t="shared" si="111"/>
        <v>1600</v>
      </c>
      <c r="I247" s="1357"/>
      <c r="J247" s="1361"/>
      <c r="K247" s="1361"/>
      <c r="L247" s="1361">
        <v>1600</v>
      </c>
      <c r="M247" s="1362"/>
      <c r="N247" s="559">
        <f t="shared" si="112"/>
        <v>0</v>
      </c>
      <c r="O247" s="1360"/>
      <c r="P247" s="1361"/>
      <c r="Q247" s="1362"/>
      <c r="R247" s="925"/>
    </row>
    <row r="248" spans="1:21" ht="12.75" thickBot="1">
      <c r="A248" s="614" t="s">
        <v>588</v>
      </c>
      <c r="B248" s="948"/>
      <c r="C248" s="1198" t="s">
        <v>411</v>
      </c>
      <c r="D248" s="1199"/>
      <c r="E248" s="1199"/>
      <c r="F248" s="1200"/>
      <c r="G248" s="566">
        <f t="shared" ref="G248:Q248" si="114">SUM(G242:G247)</f>
        <v>351674</v>
      </c>
      <c r="H248" s="566">
        <f t="shared" si="114"/>
        <v>6424</v>
      </c>
      <c r="I248" s="600">
        <f t="shared" si="114"/>
        <v>0</v>
      </c>
      <c r="J248" s="598">
        <f t="shared" si="114"/>
        <v>0</v>
      </c>
      <c r="K248" s="598">
        <f t="shared" si="114"/>
        <v>2000</v>
      </c>
      <c r="L248" s="598">
        <f t="shared" si="114"/>
        <v>3424</v>
      </c>
      <c r="M248" s="477">
        <f t="shared" si="114"/>
        <v>1000</v>
      </c>
      <c r="N248" s="599">
        <f t="shared" si="114"/>
        <v>345250</v>
      </c>
      <c r="O248" s="597">
        <f t="shared" si="114"/>
        <v>345250</v>
      </c>
      <c r="P248" s="598">
        <f t="shared" si="114"/>
        <v>0</v>
      </c>
      <c r="Q248" s="477">
        <f t="shared" si="114"/>
        <v>0</v>
      </c>
      <c r="R248" s="919"/>
    </row>
    <row r="249" spans="1:21" ht="12.75" customHeight="1" thickBot="1">
      <c r="A249" s="618">
        <f>+A247+1</f>
        <v>80</v>
      </c>
      <c r="B249" s="946">
        <v>11</v>
      </c>
      <c r="C249" s="1342" t="s">
        <v>19</v>
      </c>
      <c r="D249" s="1349" t="s">
        <v>19</v>
      </c>
      <c r="E249" s="1340" t="s">
        <v>19</v>
      </c>
      <c r="F249" s="1349" t="s">
        <v>19</v>
      </c>
      <c r="G249" s="540">
        <f>+H249+N249</f>
        <v>0</v>
      </c>
      <c r="H249" s="541">
        <f>+I249+J249+K249+L249+M249</f>
        <v>0</v>
      </c>
      <c r="I249" s="1357"/>
      <c r="J249" s="1361"/>
      <c r="K249" s="1361"/>
      <c r="L249" s="1361"/>
      <c r="M249" s="1362"/>
      <c r="N249" s="541">
        <f>+O249+P249+Q249</f>
        <v>0</v>
      </c>
      <c r="O249" s="1360"/>
      <c r="P249" s="1361"/>
      <c r="Q249" s="1362"/>
      <c r="R249" s="925"/>
      <c r="S249" s="564"/>
      <c r="T249" s="564"/>
      <c r="U249" s="564"/>
    </row>
    <row r="250" spans="1:21" ht="12.75" thickBot="1">
      <c r="A250" s="614" t="s">
        <v>589</v>
      </c>
      <c r="B250" s="948"/>
      <c r="C250" s="1198" t="s">
        <v>412</v>
      </c>
      <c r="D250" s="1199"/>
      <c r="E250" s="1199"/>
      <c r="F250" s="1200"/>
      <c r="G250" s="566">
        <f t="shared" ref="G250:Q250" si="115">SUM(G249:G249)</f>
        <v>0</v>
      </c>
      <c r="H250" s="566">
        <f t="shared" si="115"/>
        <v>0</v>
      </c>
      <c r="I250" s="600">
        <f t="shared" si="115"/>
        <v>0</v>
      </c>
      <c r="J250" s="598">
        <f t="shared" si="115"/>
        <v>0</v>
      </c>
      <c r="K250" s="598">
        <f t="shared" si="115"/>
        <v>0</v>
      </c>
      <c r="L250" s="598">
        <f t="shared" si="115"/>
        <v>0</v>
      </c>
      <c r="M250" s="477">
        <f t="shared" si="115"/>
        <v>0</v>
      </c>
      <c r="N250" s="599">
        <f t="shared" si="115"/>
        <v>0</v>
      </c>
      <c r="O250" s="597">
        <f t="shared" si="115"/>
        <v>0</v>
      </c>
      <c r="P250" s="598">
        <f t="shared" si="115"/>
        <v>0</v>
      </c>
      <c r="Q250" s="477">
        <f t="shared" si="115"/>
        <v>0</v>
      </c>
      <c r="R250" s="919"/>
    </row>
    <row r="251" spans="1:21" s="549" customFormat="1" ht="12.75" thickBot="1">
      <c r="A251" s="615" t="s">
        <v>23</v>
      </c>
      <c r="B251" s="949"/>
      <c r="C251" s="1195" t="s">
        <v>413</v>
      </c>
      <c r="D251" s="1196"/>
      <c r="E251" s="1196"/>
      <c r="F251" s="1197"/>
      <c r="G251" s="569">
        <f t="shared" ref="G251:Q251" si="116">+G241+G248+G250</f>
        <v>3522568</v>
      </c>
      <c r="H251" s="569">
        <f t="shared" si="116"/>
        <v>3035060</v>
      </c>
      <c r="I251" s="601">
        <f t="shared" si="116"/>
        <v>76485</v>
      </c>
      <c r="J251" s="602">
        <f t="shared" si="116"/>
        <v>10414</v>
      </c>
      <c r="K251" s="602">
        <f t="shared" si="116"/>
        <v>185775</v>
      </c>
      <c r="L251" s="602">
        <f t="shared" si="116"/>
        <v>52779</v>
      </c>
      <c r="M251" s="603">
        <f t="shared" si="116"/>
        <v>2709607</v>
      </c>
      <c r="N251" s="569">
        <f t="shared" si="116"/>
        <v>487508</v>
      </c>
      <c r="O251" s="601">
        <f t="shared" si="116"/>
        <v>420250</v>
      </c>
      <c r="P251" s="602">
        <f t="shared" si="116"/>
        <v>67258</v>
      </c>
      <c r="Q251" s="603">
        <f t="shared" si="116"/>
        <v>0</v>
      </c>
      <c r="R251" s="919"/>
      <c r="S251" s="343"/>
      <c r="T251" s="343"/>
      <c r="U251" s="343"/>
    </row>
    <row r="252" spans="1:21" ht="12.75" thickBot="1">
      <c r="A252" s="940"/>
      <c r="B252" s="950"/>
      <c r="C252" s="1041"/>
      <c r="D252" s="612"/>
      <c r="E252" s="1036"/>
      <c r="F252" s="573"/>
      <c r="G252" s="574"/>
      <c r="H252" s="575"/>
      <c r="I252" s="576"/>
      <c r="J252" s="577"/>
      <c r="K252" s="577"/>
      <c r="L252" s="577"/>
      <c r="M252" s="578"/>
      <c r="N252" s="575"/>
      <c r="O252" s="576"/>
      <c r="P252" s="577"/>
      <c r="Q252" s="578"/>
      <c r="R252" s="919"/>
    </row>
    <row r="253" spans="1:21" s="564" customFormat="1">
      <c r="A253" s="619">
        <f>A249+1</f>
        <v>81</v>
      </c>
      <c r="B253" s="951">
        <v>12</v>
      </c>
      <c r="C253" s="1350" t="s">
        <v>667</v>
      </c>
      <c r="D253" s="1077" t="s">
        <v>666</v>
      </c>
      <c r="E253" s="1351" t="s">
        <v>1225</v>
      </c>
      <c r="F253" s="1352" t="s">
        <v>995</v>
      </c>
      <c r="G253" s="538">
        <f>+H253+N253</f>
        <v>227947</v>
      </c>
      <c r="H253" s="539">
        <f>+I253+J253+K253+L253+M253</f>
        <v>223947</v>
      </c>
      <c r="I253" s="1363">
        <v>168150</v>
      </c>
      <c r="J253" s="1364">
        <v>32584</v>
      </c>
      <c r="K253" s="1364">
        <v>23213</v>
      </c>
      <c r="L253" s="1364"/>
      <c r="M253" s="1365"/>
      <c r="N253" s="539">
        <f>+O253+P253+Q253</f>
        <v>4000</v>
      </c>
      <c r="O253" s="1363">
        <v>4000</v>
      </c>
      <c r="P253" s="1364"/>
      <c r="Q253" s="1365"/>
      <c r="R253" s="925"/>
      <c r="S253" s="343"/>
      <c r="T253" s="343"/>
      <c r="U253" s="343"/>
    </row>
    <row r="254" spans="1:21" s="553" customFormat="1" ht="24">
      <c r="A254" s="618">
        <f>+A253+1</f>
        <v>82</v>
      </c>
      <c r="B254" s="946">
        <v>13</v>
      </c>
      <c r="C254" s="1342" t="s">
        <v>1037</v>
      </c>
      <c r="D254" s="1062" t="s">
        <v>1255</v>
      </c>
      <c r="E254" s="1340" t="s">
        <v>1225</v>
      </c>
      <c r="F254" s="1349" t="s">
        <v>1248</v>
      </c>
      <c r="G254" s="540">
        <f>+H254+N254</f>
        <v>0</v>
      </c>
      <c r="H254" s="541">
        <f>+I254+J254+K254+L254+M254</f>
        <v>0</v>
      </c>
      <c r="I254" s="1360"/>
      <c r="J254" s="1361"/>
      <c r="K254" s="1361"/>
      <c r="L254" s="1361"/>
      <c r="M254" s="1362"/>
      <c r="N254" s="541">
        <f>+O254+P254+Q254</f>
        <v>0</v>
      </c>
      <c r="O254" s="1360"/>
      <c r="P254" s="1361"/>
      <c r="Q254" s="1362"/>
      <c r="R254" s="925"/>
    </row>
    <row r="255" spans="1:21" s="553" customFormat="1">
      <c r="A255" s="618">
        <f t="shared" ref="A255:A257" si="117">+A254+1</f>
        <v>83</v>
      </c>
      <c r="B255" s="946">
        <v>14</v>
      </c>
      <c r="C255" s="1342" t="s">
        <v>701</v>
      </c>
      <c r="D255" s="1062" t="s">
        <v>700</v>
      </c>
      <c r="E255" s="1341" t="s">
        <v>1229</v>
      </c>
      <c r="F255" s="1347" t="s">
        <v>776</v>
      </c>
      <c r="G255" s="540">
        <f>+H255+N255</f>
        <v>60902</v>
      </c>
      <c r="H255" s="541">
        <f>+I255+J255+K255+L255+M255</f>
        <v>60902</v>
      </c>
      <c r="I255" s="1360">
        <v>43621</v>
      </c>
      <c r="J255" s="1361">
        <v>7768</v>
      </c>
      <c r="K255" s="1361">
        <v>9513</v>
      </c>
      <c r="L255" s="1361"/>
      <c r="M255" s="1362"/>
      <c r="N255" s="541">
        <f>+O255+P255+Q255</f>
        <v>0</v>
      </c>
      <c r="O255" s="1360"/>
      <c r="P255" s="1361"/>
      <c r="Q255" s="1362"/>
      <c r="R255" s="925"/>
    </row>
    <row r="256" spans="1:21" s="553" customFormat="1">
      <c r="A256" s="618">
        <f t="shared" si="117"/>
        <v>84</v>
      </c>
      <c r="B256" s="946">
        <v>14</v>
      </c>
      <c r="C256" s="1342" t="s">
        <v>701</v>
      </c>
      <c r="D256" s="1062" t="s">
        <v>700</v>
      </c>
      <c r="E256" s="1341" t="s">
        <v>1229</v>
      </c>
      <c r="F256" s="1347" t="s">
        <v>1040</v>
      </c>
      <c r="G256" s="540">
        <f>+H256+N256</f>
        <v>77223</v>
      </c>
      <c r="H256" s="541">
        <f>+I256+J256+K256+L256+M256</f>
        <v>77223</v>
      </c>
      <c r="I256" s="1360">
        <v>62000</v>
      </c>
      <c r="J256" s="1361">
        <v>11032</v>
      </c>
      <c r="K256" s="1361">
        <v>4191</v>
      </c>
      <c r="L256" s="1361"/>
      <c r="M256" s="1362"/>
      <c r="N256" s="541">
        <f>+O256+P256+Q256</f>
        <v>0</v>
      </c>
      <c r="O256" s="1360"/>
      <c r="P256" s="1361"/>
      <c r="Q256" s="1362"/>
      <c r="R256" s="925"/>
    </row>
    <row r="257" spans="1:21" s="553" customFormat="1" ht="12.75" thickBot="1">
      <c r="A257" s="618">
        <f t="shared" si="117"/>
        <v>85</v>
      </c>
      <c r="B257" s="946">
        <v>14</v>
      </c>
      <c r="C257" s="1342" t="s">
        <v>1002</v>
      </c>
      <c r="D257" s="1062" t="s">
        <v>1003</v>
      </c>
      <c r="E257" s="1341" t="s">
        <v>1225</v>
      </c>
      <c r="F257" s="1347" t="s">
        <v>995</v>
      </c>
      <c r="G257" s="540">
        <f>+H257+N257</f>
        <v>0</v>
      </c>
      <c r="H257" s="541">
        <f>+I257+J257+K257+L257+M257</f>
        <v>0</v>
      </c>
      <c r="I257" s="1360"/>
      <c r="J257" s="1361"/>
      <c r="K257" s="1361"/>
      <c r="L257" s="1361"/>
      <c r="M257" s="1362"/>
      <c r="N257" s="541">
        <f>+O257+P257+Q257</f>
        <v>0</v>
      </c>
      <c r="O257" s="1360"/>
      <c r="P257" s="1361"/>
      <c r="Q257" s="1362"/>
      <c r="R257" s="925"/>
    </row>
    <row r="258" spans="1:21" s="553" customFormat="1" ht="12.75" thickBot="1">
      <c r="A258" s="614" t="s">
        <v>590</v>
      </c>
      <c r="B258" s="948"/>
      <c r="C258" s="1198" t="s">
        <v>869</v>
      </c>
      <c r="D258" s="1199"/>
      <c r="E258" s="1199"/>
      <c r="F258" s="1200"/>
      <c r="G258" s="566">
        <f>SUM(G253:G257)</f>
        <v>366072</v>
      </c>
      <c r="H258" s="596">
        <f t="shared" ref="H258:Q258" si="118">SUM(H253:H257)</f>
        <v>362072</v>
      </c>
      <c r="I258" s="597">
        <f t="shared" si="118"/>
        <v>273771</v>
      </c>
      <c r="J258" s="598">
        <f t="shared" si="118"/>
        <v>51384</v>
      </c>
      <c r="K258" s="598">
        <f t="shared" si="118"/>
        <v>36917</v>
      </c>
      <c r="L258" s="598">
        <f t="shared" si="118"/>
        <v>0</v>
      </c>
      <c r="M258" s="477">
        <f t="shared" si="118"/>
        <v>0</v>
      </c>
      <c r="N258" s="599">
        <f t="shared" si="118"/>
        <v>4000</v>
      </c>
      <c r="O258" s="597">
        <f t="shared" si="118"/>
        <v>4000</v>
      </c>
      <c r="P258" s="598">
        <f t="shared" si="118"/>
        <v>0</v>
      </c>
      <c r="Q258" s="477">
        <f t="shared" si="118"/>
        <v>0</v>
      </c>
      <c r="R258" s="919"/>
    </row>
    <row r="259" spans="1:21" s="553" customFormat="1">
      <c r="A259" s="618">
        <f>+A257+1</f>
        <v>86</v>
      </c>
      <c r="B259" s="946">
        <v>15</v>
      </c>
      <c r="C259" s="1342" t="s">
        <v>667</v>
      </c>
      <c r="D259" s="1062" t="s">
        <v>666</v>
      </c>
      <c r="E259" s="1341" t="s">
        <v>1238</v>
      </c>
      <c r="F259" s="1347" t="s">
        <v>416</v>
      </c>
      <c r="G259" s="558">
        <f>+H259+N259</f>
        <v>33600</v>
      </c>
      <c r="H259" s="559">
        <f>+I259+J259+K259+M259</f>
        <v>33600</v>
      </c>
      <c r="I259" s="1357">
        <v>9229</v>
      </c>
      <c r="J259" s="1358">
        <v>1643</v>
      </c>
      <c r="K259" s="1358">
        <v>22728</v>
      </c>
      <c r="L259" s="1358"/>
      <c r="M259" s="1359"/>
      <c r="N259" s="559">
        <f>+O259+P259+Q259</f>
        <v>0</v>
      </c>
      <c r="O259" s="1357"/>
      <c r="P259" s="1358"/>
      <c r="Q259" s="1359"/>
      <c r="R259" s="551"/>
      <c r="S259" s="549"/>
      <c r="T259" s="549"/>
      <c r="U259" s="549"/>
    </row>
    <row r="260" spans="1:21" s="553" customFormat="1">
      <c r="A260" s="618">
        <f>+A259+1</f>
        <v>87</v>
      </c>
      <c r="B260" s="946">
        <v>16</v>
      </c>
      <c r="C260" s="1342" t="s">
        <v>1073</v>
      </c>
      <c r="D260" s="1062" t="s">
        <v>732</v>
      </c>
      <c r="E260" s="1341" t="s">
        <v>1225</v>
      </c>
      <c r="F260" s="1347" t="s">
        <v>647</v>
      </c>
      <c r="G260" s="540">
        <f>+H260+N260</f>
        <v>6648</v>
      </c>
      <c r="H260" s="541">
        <f>+I260+J260+K260+L260+M260</f>
        <v>6648</v>
      </c>
      <c r="I260" s="1360">
        <v>5403</v>
      </c>
      <c r="J260" s="1361">
        <v>864</v>
      </c>
      <c r="K260" s="1361">
        <v>381</v>
      </c>
      <c r="L260" s="1361"/>
      <c r="M260" s="1362"/>
      <c r="N260" s="541">
        <f>+O260+P260+Q260</f>
        <v>0</v>
      </c>
      <c r="O260" s="1360"/>
      <c r="P260" s="1361"/>
      <c r="Q260" s="1362"/>
      <c r="R260" s="925"/>
    </row>
    <row r="261" spans="1:21" s="553" customFormat="1" ht="12.75" thickBot="1">
      <c r="A261" s="618">
        <f>+A260+1</f>
        <v>88</v>
      </c>
      <c r="B261" s="946">
        <v>17</v>
      </c>
      <c r="C261" s="1342" t="s">
        <v>734</v>
      </c>
      <c r="D261" s="1062" t="s">
        <v>735</v>
      </c>
      <c r="E261" s="1341" t="s">
        <v>1225</v>
      </c>
      <c r="F261" s="1347" t="s">
        <v>660</v>
      </c>
      <c r="G261" s="558">
        <f>+H261+N261</f>
        <v>0</v>
      </c>
      <c r="H261" s="559">
        <f>+I261+J261+K261+M261</f>
        <v>0</v>
      </c>
      <c r="I261" s="1360"/>
      <c r="J261" s="1361"/>
      <c r="K261" s="1361"/>
      <c r="L261" s="1361"/>
      <c r="M261" s="1362"/>
      <c r="N261" s="559">
        <f>+O261+P261+Q261</f>
        <v>0</v>
      </c>
      <c r="O261" s="1360"/>
      <c r="P261" s="1361"/>
      <c r="Q261" s="1362"/>
      <c r="R261" s="551"/>
      <c r="S261" s="343"/>
      <c r="T261" s="343"/>
      <c r="U261" s="343"/>
    </row>
    <row r="262" spans="1:21" s="564" customFormat="1" ht="12.75" thickBot="1">
      <c r="A262" s="614" t="s">
        <v>632</v>
      </c>
      <c r="B262" s="948"/>
      <c r="C262" s="1198" t="s">
        <v>870</v>
      </c>
      <c r="D262" s="1199"/>
      <c r="E262" s="1199"/>
      <c r="F262" s="1200"/>
      <c r="G262" s="566">
        <f>SUM(G259:G261)</f>
        <v>40248</v>
      </c>
      <c r="H262" s="596">
        <f t="shared" ref="H262:Q262" si="119">SUM(H259:H261)</f>
        <v>40248</v>
      </c>
      <c r="I262" s="597">
        <f t="shared" si="119"/>
        <v>14632</v>
      </c>
      <c r="J262" s="598">
        <f t="shared" si="119"/>
        <v>2507</v>
      </c>
      <c r="K262" s="598">
        <f t="shared" si="119"/>
        <v>23109</v>
      </c>
      <c r="L262" s="598">
        <f t="shared" si="119"/>
        <v>0</v>
      </c>
      <c r="M262" s="477">
        <f t="shared" si="119"/>
        <v>0</v>
      </c>
      <c r="N262" s="599">
        <f t="shared" si="119"/>
        <v>0</v>
      </c>
      <c r="O262" s="597">
        <f t="shared" si="119"/>
        <v>0</v>
      </c>
      <c r="P262" s="598">
        <f t="shared" si="119"/>
        <v>0</v>
      </c>
      <c r="Q262" s="477">
        <f t="shared" si="119"/>
        <v>0</v>
      </c>
      <c r="R262" s="919"/>
      <c r="S262" s="549"/>
      <c r="T262" s="549"/>
      <c r="U262" s="549"/>
    </row>
    <row r="263" spans="1:21" s="564" customFormat="1">
      <c r="A263" s="618">
        <f>+A261+1</f>
        <v>89</v>
      </c>
      <c r="B263" s="945">
        <v>18</v>
      </c>
      <c r="C263" s="1339" t="s">
        <v>741</v>
      </c>
      <c r="D263" s="1066" t="s">
        <v>740</v>
      </c>
      <c r="E263" s="1340" t="s">
        <v>1225</v>
      </c>
      <c r="F263" s="1353" t="s">
        <v>658</v>
      </c>
      <c r="G263" s="538">
        <f t="shared" ref="G263:G269" si="120">+H263+N263</f>
        <v>0</v>
      </c>
      <c r="H263" s="539">
        <f t="shared" ref="H263:H269" si="121">+I263+J263+K263+L263+M263</f>
        <v>0</v>
      </c>
      <c r="I263" s="1363"/>
      <c r="J263" s="1364"/>
      <c r="K263" s="1364"/>
      <c r="L263" s="1364"/>
      <c r="M263" s="1365"/>
      <c r="N263" s="539">
        <f t="shared" ref="N263:N269" si="122">+O263+P263+Q263</f>
        <v>0</v>
      </c>
      <c r="O263" s="1363"/>
      <c r="P263" s="1364"/>
      <c r="Q263" s="1365"/>
      <c r="R263" s="925"/>
      <c r="S263" s="343"/>
      <c r="T263" s="343"/>
      <c r="U263" s="343"/>
    </row>
    <row r="264" spans="1:21" s="553" customFormat="1">
      <c r="A264" s="618">
        <f t="shared" ref="A264:A269" si="123">+A263+1</f>
        <v>90</v>
      </c>
      <c r="B264" s="945">
        <v>18</v>
      </c>
      <c r="C264" s="1339" t="s">
        <v>741</v>
      </c>
      <c r="D264" s="1066" t="s">
        <v>740</v>
      </c>
      <c r="E264" s="1340" t="s">
        <v>1225</v>
      </c>
      <c r="F264" s="1353" t="s">
        <v>659</v>
      </c>
      <c r="G264" s="540">
        <f t="shared" si="120"/>
        <v>0</v>
      </c>
      <c r="H264" s="541">
        <f t="shared" si="121"/>
        <v>0</v>
      </c>
      <c r="I264" s="1360"/>
      <c r="J264" s="1361"/>
      <c r="K264" s="1361"/>
      <c r="L264" s="1361"/>
      <c r="M264" s="1362"/>
      <c r="N264" s="541">
        <f t="shared" si="122"/>
        <v>0</v>
      </c>
      <c r="O264" s="1360"/>
      <c r="P264" s="1361"/>
      <c r="Q264" s="1362"/>
      <c r="R264" s="925"/>
    </row>
    <row r="265" spans="1:21" s="553" customFormat="1">
      <c r="A265" s="618">
        <f t="shared" si="123"/>
        <v>91</v>
      </c>
      <c r="B265" s="945">
        <v>18</v>
      </c>
      <c r="C265" s="1339" t="s">
        <v>741</v>
      </c>
      <c r="D265" s="1066" t="s">
        <v>740</v>
      </c>
      <c r="E265" s="1340" t="s">
        <v>1225</v>
      </c>
      <c r="F265" s="1353" t="s">
        <v>738</v>
      </c>
      <c r="G265" s="540">
        <f t="shared" si="120"/>
        <v>0</v>
      </c>
      <c r="H265" s="541">
        <f t="shared" si="121"/>
        <v>0</v>
      </c>
      <c r="I265" s="1360"/>
      <c r="J265" s="1361"/>
      <c r="K265" s="1361"/>
      <c r="L265" s="1361"/>
      <c r="M265" s="1362"/>
      <c r="N265" s="541">
        <f t="shared" si="122"/>
        <v>0</v>
      </c>
      <c r="O265" s="1360"/>
      <c r="P265" s="1361"/>
      <c r="Q265" s="1362"/>
      <c r="R265" s="925"/>
    </row>
    <row r="266" spans="1:21" s="553" customFormat="1">
      <c r="A266" s="618">
        <f t="shared" si="123"/>
        <v>92</v>
      </c>
      <c r="B266" s="945">
        <v>18</v>
      </c>
      <c r="C266" s="1339" t="s">
        <v>741</v>
      </c>
      <c r="D266" s="1066" t="s">
        <v>740</v>
      </c>
      <c r="E266" s="1340" t="s">
        <v>1225</v>
      </c>
      <c r="F266" s="1353" t="s">
        <v>739</v>
      </c>
      <c r="G266" s="540">
        <f t="shared" si="120"/>
        <v>0</v>
      </c>
      <c r="H266" s="541">
        <f t="shared" si="121"/>
        <v>0</v>
      </c>
      <c r="I266" s="1360"/>
      <c r="J266" s="1361"/>
      <c r="K266" s="1361"/>
      <c r="L266" s="1361"/>
      <c r="M266" s="1362"/>
      <c r="N266" s="541">
        <f t="shared" si="122"/>
        <v>0</v>
      </c>
      <c r="O266" s="1360"/>
      <c r="P266" s="1361"/>
      <c r="Q266" s="1362"/>
      <c r="R266" s="925"/>
    </row>
    <row r="267" spans="1:21" s="553" customFormat="1">
      <c r="A267" s="618">
        <f t="shared" si="123"/>
        <v>93</v>
      </c>
      <c r="B267" s="945">
        <v>18</v>
      </c>
      <c r="C267" s="1339" t="s">
        <v>673</v>
      </c>
      <c r="D267" s="1066" t="s">
        <v>672</v>
      </c>
      <c r="E267" s="1340" t="s">
        <v>1225</v>
      </c>
      <c r="F267" s="1353" t="s">
        <v>636</v>
      </c>
      <c r="G267" s="540">
        <f t="shared" si="120"/>
        <v>0</v>
      </c>
      <c r="H267" s="541">
        <f t="shared" si="121"/>
        <v>0</v>
      </c>
      <c r="I267" s="1360"/>
      <c r="J267" s="1361"/>
      <c r="K267" s="1361"/>
      <c r="L267" s="1361"/>
      <c r="M267" s="1362"/>
      <c r="N267" s="541">
        <f t="shared" si="122"/>
        <v>0</v>
      </c>
      <c r="O267" s="1360"/>
      <c r="P267" s="1361"/>
      <c r="Q267" s="1362"/>
      <c r="R267" s="925"/>
    </row>
    <row r="268" spans="1:21" s="553" customFormat="1">
      <c r="A268" s="618">
        <f t="shared" si="123"/>
        <v>94</v>
      </c>
      <c r="B268" s="945">
        <v>18</v>
      </c>
      <c r="C268" s="1339" t="s">
        <v>996</v>
      </c>
      <c r="D268" s="1066" t="s">
        <v>997</v>
      </c>
      <c r="E268" s="1340" t="s">
        <v>1225</v>
      </c>
      <c r="F268" s="1353" t="s">
        <v>998</v>
      </c>
      <c r="G268" s="540">
        <f t="shared" si="120"/>
        <v>0</v>
      </c>
      <c r="H268" s="541">
        <f t="shared" si="121"/>
        <v>0</v>
      </c>
      <c r="I268" s="1360"/>
      <c r="J268" s="1361"/>
      <c r="K268" s="1361"/>
      <c r="L268" s="1361"/>
      <c r="M268" s="1362"/>
      <c r="N268" s="541">
        <f t="shared" si="122"/>
        <v>0</v>
      </c>
      <c r="O268" s="1360"/>
      <c r="P268" s="1361"/>
      <c r="Q268" s="1362"/>
      <c r="R268" s="925"/>
    </row>
    <row r="269" spans="1:21" s="564" customFormat="1" ht="12.75" thickBot="1">
      <c r="A269" s="618">
        <f t="shared" si="123"/>
        <v>95</v>
      </c>
      <c r="B269" s="945">
        <v>18</v>
      </c>
      <c r="C269" s="1339" t="s">
        <v>1006</v>
      </c>
      <c r="D269" s="1066" t="s">
        <v>1005</v>
      </c>
      <c r="E269" s="1340" t="s">
        <v>1225</v>
      </c>
      <c r="F269" s="1353" t="s">
        <v>998</v>
      </c>
      <c r="G269" s="562">
        <f t="shared" si="120"/>
        <v>0</v>
      </c>
      <c r="H269" s="563">
        <f t="shared" si="121"/>
        <v>0</v>
      </c>
      <c r="I269" s="561"/>
      <c r="J269" s="560"/>
      <c r="K269" s="560"/>
      <c r="L269" s="560"/>
      <c r="M269" s="505"/>
      <c r="N269" s="563">
        <f t="shared" si="122"/>
        <v>0</v>
      </c>
      <c r="O269" s="561"/>
      <c r="P269" s="560"/>
      <c r="Q269" s="505"/>
      <c r="R269" s="925"/>
      <c r="S269" s="343"/>
      <c r="T269" s="343"/>
      <c r="U269" s="343"/>
    </row>
    <row r="270" spans="1:21" s="564" customFormat="1" ht="12.75" thickBot="1">
      <c r="A270" s="614" t="s">
        <v>746</v>
      </c>
      <c r="B270" s="948"/>
      <c r="C270" s="1198" t="s">
        <v>871</v>
      </c>
      <c r="D270" s="1199"/>
      <c r="E270" s="1199"/>
      <c r="F270" s="1200"/>
      <c r="G270" s="566">
        <f>SUM(G269)</f>
        <v>0</v>
      </c>
      <c r="H270" s="596">
        <f t="shared" ref="H270:Q270" si="124">SUM(H269)</f>
        <v>0</v>
      </c>
      <c r="I270" s="597">
        <f t="shared" si="124"/>
        <v>0</v>
      </c>
      <c r="J270" s="598">
        <f t="shared" si="124"/>
        <v>0</v>
      </c>
      <c r="K270" s="598">
        <f t="shared" si="124"/>
        <v>0</v>
      </c>
      <c r="L270" s="598">
        <f>SUM(L269)</f>
        <v>0</v>
      </c>
      <c r="M270" s="477">
        <f t="shared" si="124"/>
        <v>0</v>
      </c>
      <c r="N270" s="599">
        <f t="shared" si="124"/>
        <v>0</v>
      </c>
      <c r="O270" s="598">
        <f t="shared" si="124"/>
        <v>0</v>
      </c>
      <c r="P270" s="598">
        <f t="shared" si="124"/>
        <v>0</v>
      </c>
      <c r="Q270" s="477">
        <f t="shared" si="124"/>
        <v>0</v>
      </c>
      <c r="R270" s="919"/>
    </row>
    <row r="271" spans="1:21" s="564" customFormat="1" ht="12.75" thickBot="1">
      <c r="A271" s="615" t="s">
        <v>22</v>
      </c>
      <c r="B271" s="949"/>
      <c r="C271" s="1195" t="s">
        <v>872</v>
      </c>
      <c r="D271" s="1196"/>
      <c r="E271" s="1196"/>
      <c r="F271" s="1197"/>
      <c r="G271" s="604">
        <f t="shared" ref="G271:Q271" si="125">+G258+G262+G270</f>
        <v>406320</v>
      </c>
      <c r="H271" s="605">
        <f t="shared" si="125"/>
        <v>402320</v>
      </c>
      <c r="I271" s="601">
        <f t="shared" si="125"/>
        <v>288403</v>
      </c>
      <c r="J271" s="602">
        <f t="shared" si="125"/>
        <v>53891</v>
      </c>
      <c r="K271" s="602">
        <f t="shared" si="125"/>
        <v>60026</v>
      </c>
      <c r="L271" s="602">
        <f t="shared" si="125"/>
        <v>0</v>
      </c>
      <c r="M271" s="603">
        <f t="shared" si="125"/>
        <v>0</v>
      </c>
      <c r="N271" s="605">
        <f t="shared" si="125"/>
        <v>4000</v>
      </c>
      <c r="O271" s="601">
        <f t="shared" si="125"/>
        <v>4000</v>
      </c>
      <c r="P271" s="602">
        <f t="shared" si="125"/>
        <v>0</v>
      </c>
      <c r="Q271" s="603">
        <f t="shared" si="125"/>
        <v>0</v>
      </c>
      <c r="R271" s="919"/>
      <c r="S271" s="553"/>
      <c r="T271" s="553"/>
      <c r="U271" s="553"/>
    </row>
    <row r="272" spans="1:21" s="564" customFormat="1" ht="12.75" thickBot="1">
      <c r="A272" s="614"/>
      <c r="B272" s="952"/>
      <c r="C272" s="1042"/>
      <c r="D272" s="613"/>
      <c r="E272" s="1037"/>
      <c r="F272" s="565"/>
      <c r="G272" s="566"/>
      <c r="H272" s="477"/>
      <c r="I272" s="567"/>
      <c r="J272" s="404"/>
      <c r="K272" s="404"/>
      <c r="L272" s="404"/>
      <c r="M272" s="391"/>
      <c r="N272" s="477"/>
      <c r="O272" s="567"/>
      <c r="P272" s="404"/>
      <c r="Q272" s="391"/>
      <c r="R272" s="552"/>
      <c r="S272" s="553"/>
      <c r="T272" s="553"/>
      <c r="U272" s="553"/>
    </row>
    <row r="273" spans="1:21">
      <c r="A273" s="618">
        <f>+A269+1</f>
        <v>96</v>
      </c>
      <c r="B273" s="945">
        <v>19</v>
      </c>
      <c r="C273" s="1339" t="s">
        <v>1076</v>
      </c>
      <c r="D273" s="1066" t="s">
        <v>1077</v>
      </c>
      <c r="E273" s="1340" t="s">
        <v>1225</v>
      </c>
      <c r="F273" s="1353" t="s">
        <v>1078</v>
      </c>
      <c r="G273" s="558">
        <f t="shared" ref="G273:G278" si="126">+H273+N273</f>
        <v>290740</v>
      </c>
      <c r="H273" s="559">
        <f t="shared" ref="H273:H278" si="127">+I273+J273+K273+L273+M273</f>
        <v>289640</v>
      </c>
      <c r="I273" s="1357">
        <v>219940</v>
      </c>
      <c r="J273" s="1358">
        <v>43809</v>
      </c>
      <c r="K273" s="1358">
        <v>25891</v>
      </c>
      <c r="L273" s="1358"/>
      <c r="M273" s="1359"/>
      <c r="N273" s="559">
        <f t="shared" ref="N273:N278" si="128">+O273+P273+Q273</f>
        <v>1100</v>
      </c>
      <c r="O273" s="1357">
        <v>1100</v>
      </c>
      <c r="P273" s="1358"/>
      <c r="Q273" s="1359"/>
      <c r="R273" s="925"/>
    </row>
    <row r="274" spans="1:21">
      <c r="A274" s="618">
        <f>+A273+1</f>
        <v>97</v>
      </c>
      <c r="B274" s="945">
        <v>20</v>
      </c>
      <c r="C274" s="1339" t="s">
        <v>1079</v>
      </c>
      <c r="D274" s="1066" t="s">
        <v>1080</v>
      </c>
      <c r="E274" s="1340" t="s">
        <v>1239</v>
      </c>
      <c r="F274" s="1353" t="s">
        <v>1085</v>
      </c>
      <c r="G274" s="558">
        <f t="shared" si="126"/>
        <v>30260</v>
      </c>
      <c r="H274" s="559">
        <f t="shared" si="127"/>
        <v>30260</v>
      </c>
      <c r="I274" s="1357"/>
      <c r="J274" s="1361"/>
      <c r="K274" s="1361">
        <v>30260</v>
      </c>
      <c r="L274" s="1361"/>
      <c r="M274" s="1362"/>
      <c r="N274" s="559">
        <f t="shared" si="128"/>
        <v>0</v>
      </c>
      <c r="O274" s="1360"/>
      <c r="P274" s="1361"/>
      <c r="Q274" s="1362"/>
      <c r="R274" s="925"/>
    </row>
    <row r="275" spans="1:21">
      <c r="A275" s="618">
        <f>+A274+1</f>
        <v>98</v>
      </c>
      <c r="B275" s="945">
        <v>20</v>
      </c>
      <c r="C275" s="1339" t="s">
        <v>1079</v>
      </c>
      <c r="D275" s="1066" t="s">
        <v>1080</v>
      </c>
      <c r="E275" s="1340" t="s">
        <v>1240</v>
      </c>
      <c r="F275" s="1353" t="s">
        <v>1086</v>
      </c>
      <c r="G275" s="558">
        <f t="shared" si="126"/>
        <v>60171</v>
      </c>
      <c r="H275" s="559">
        <f t="shared" si="127"/>
        <v>60171</v>
      </c>
      <c r="I275" s="1357"/>
      <c r="J275" s="1361"/>
      <c r="K275" s="1361">
        <v>60171</v>
      </c>
      <c r="L275" s="1361"/>
      <c r="M275" s="1362"/>
      <c r="N275" s="559">
        <f t="shared" si="128"/>
        <v>0</v>
      </c>
      <c r="O275" s="1360"/>
      <c r="P275" s="1361"/>
      <c r="Q275" s="1362"/>
      <c r="R275" s="925"/>
    </row>
    <row r="276" spans="1:21" s="564" customFormat="1">
      <c r="A276" s="618">
        <f t="shared" ref="A276:A278" si="129">+A275+1</f>
        <v>99</v>
      </c>
      <c r="B276" s="945">
        <v>21</v>
      </c>
      <c r="C276" s="1339" t="s">
        <v>1081</v>
      </c>
      <c r="D276" s="1066" t="s">
        <v>1171</v>
      </c>
      <c r="E276" s="1340" t="s">
        <v>1241</v>
      </c>
      <c r="F276" s="1353" t="s">
        <v>573</v>
      </c>
      <c r="G276" s="558">
        <f t="shared" si="126"/>
        <v>44662</v>
      </c>
      <c r="H276" s="559">
        <f t="shared" si="127"/>
        <v>44662</v>
      </c>
      <c r="I276" s="1357">
        <v>33994</v>
      </c>
      <c r="J276" s="1361">
        <v>5975</v>
      </c>
      <c r="K276" s="1361">
        <v>4693</v>
      </c>
      <c r="L276" s="1361"/>
      <c r="M276" s="1362"/>
      <c r="N276" s="559">
        <f t="shared" si="128"/>
        <v>0</v>
      </c>
      <c r="O276" s="1360"/>
      <c r="P276" s="1361"/>
      <c r="Q276" s="1362"/>
      <c r="R276" s="925"/>
      <c r="S276" s="343"/>
      <c r="T276" s="343"/>
      <c r="U276" s="343"/>
    </row>
    <row r="277" spans="1:21">
      <c r="A277" s="618">
        <f t="shared" si="129"/>
        <v>100</v>
      </c>
      <c r="B277" s="945">
        <v>20</v>
      </c>
      <c r="C277" s="1339" t="s">
        <v>1082</v>
      </c>
      <c r="D277" s="1066" t="s">
        <v>1083</v>
      </c>
      <c r="E277" s="1340" t="s">
        <v>1242</v>
      </c>
      <c r="F277" s="1353" t="s">
        <v>1084</v>
      </c>
      <c r="G277" s="558">
        <f t="shared" si="126"/>
        <v>3484</v>
      </c>
      <c r="H277" s="559">
        <f t="shared" si="127"/>
        <v>3484</v>
      </c>
      <c r="I277" s="1357"/>
      <c r="J277" s="1361"/>
      <c r="K277" s="1361">
        <v>3484</v>
      </c>
      <c r="L277" s="1361"/>
      <c r="M277" s="1362"/>
      <c r="N277" s="559">
        <f t="shared" si="128"/>
        <v>0</v>
      </c>
      <c r="O277" s="1360"/>
      <c r="P277" s="1361"/>
      <c r="Q277" s="1362"/>
      <c r="R277" s="925"/>
    </row>
    <row r="278" spans="1:21" ht="12.75" thickBot="1">
      <c r="A278" s="618">
        <f t="shared" si="129"/>
        <v>101</v>
      </c>
      <c r="B278" s="945">
        <v>19</v>
      </c>
      <c r="C278" s="1339" t="s">
        <v>1002</v>
      </c>
      <c r="D278" s="1066" t="s">
        <v>1003</v>
      </c>
      <c r="E278" s="1340" t="s">
        <v>1225</v>
      </c>
      <c r="F278" s="1353" t="s">
        <v>1078</v>
      </c>
      <c r="G278" s="558">
        <f t="shared" si="126"/>
        <v>0</v>
      </c>
      <c r="H278" s="559">
        <f t="shared" si="127"/>
        <v>0</v>
      </c>
      <c r="I278" s="1357"/>
      <c r="J278" s="1361"/>
      <c r="K278" s="1361"/>
      <c r="L278" s="1361"/>
      <c r="M278" s="1362"/>
      <c r="N278" s="559">
        <f t="shared" si="128"/>
        <v>0</v>
      </c>
      <c r="O278" s="1360"/>
      <c r="P278" s="1361"/>
      <c r="Q278" s="1362"/>
      <c r="R278" s="925"/>
    </row>
    <row r="279" spans="1:21" ht="12.75" customHeight="1" thickBot="1">
      <c r="A279" s="614" t="s">
        <v>747</v>
      </c>
      <c r="B279" s="948"/>
      <c r="C279" s="1204" t="s">
        <v>417</v>
      </c>
      <c r="D279" s="1205"/>
      <c r="E279" s="1205"/>
      <c r="F279" s="1206"/>
      <c r="G279" s="566">
        <f>SUM(G273:G278)</f>
        <v>429317</v>
      </c>
      <c r="H279" s="477">
        <f t="shared" ref="H279:Q279" si="130">SUM(H273:H278)</f>
        <v>428217</v>
      </c>
      <c r="I279" s="567">
        <f t="shared" si="130"/>
        <v>253934</v>
      </c>
      <c r="J279" s="404">
        <f t="shared" si="130"/>
        <v>49784</v>
      </c>
      <c r="K279" s="404">
        <f t="shared" si="130"/>
        <v>124499</v>
      </c>
      <c r="L279" s="404">
        <f t="shared" si="130"/>
        <v>0</v>
      </c>
      <c r="M279" s="391">
        <f t="shared" si="130"/>
        <v>0</v>
      </c>
      <c r="N279" s="477">
        <f t="shared" si="130"/>
        <v>1100</v>
      </c>
      <c r="O279" s="567">
        <f t="shared" si="130"/>
        <v>1100</v>
      </c>
      <c r="P279" s="404">
        <f t="shared" si="130"/>
        <v>0</v>
      </c>
      <c r="Q279" s="391">
        <f t="shared" si="130"/>
        <v>0</v>
      </c>
      <c r="R279" s="927"/>
      <c r="S279" s="564"/>
      <c r="T279" s="564"/>
      <c r="U279" s="564"/>
    </row>
    <row r="280" spans="1:21" ht="12.75" customHeight="1" thickBot="1">
      <c r="A280" s="620">
        <f>+A278+1</f>
        <v>102</v>
      </c>
      <c r="B280" s="953">
        <v>22</v>
      </c>
      <c r="C280" s="1043" t="s">
        <v>19</v>
      </c>
      <c r="D280" s="1354" t="s">
        <v>19</v>
      </c>
      <c r="E280" s="1038" t="s">
        <v>19</v>
      </c>
      <c r="F280" s="1354" t="s">
        <v>19</v>
      </c>
      <c r="G280" s="590">
        <f>+H280+N280</f>
        <v>0</v>
      </c>
      <c r="H280" s="485">
        <f>+I280+J280+K280+L280+M280</f>
        <v>0</v>
      </c>
      <c r="I280" s="561"/>
      <c r="J280" s="560"/>
      <c r="K280" s="560"/>
      <c r="L280" s="560"/>
      <c r="M280" s="505"/>
      <c r="N280" s="485">
        <f>+O280+P280+Q280</f>
        <v>0</v>
      </c>
      <c r="O280" s="561"/>
      <c r="P280" s="560"/>
      <c r="Q280" s="505"/>
      <c r="R280" s="925"/>
      <c r="S280" s="564"/>
      <c r="T280" s="564"/>
      <c r="U280" s="564"/>
    </row>
    <row r="281" spans="1:21" s="549" customFormat="1" ht="12.75" customHeight="1" thickBot="1">
      <c r="A281" s="976" t="s">
        <v>748</v>
      </c>
      <c r="B281" s="948"/>
      <c r="C281" s="1204" t="s">
        <v>418</v>
      </c>
      <c r="D281" s="1205"/>
      <c r="E281" s="1205"/>
      <c r="F281" s="1206"/>
      <c r="G281" s="566">
        <f>SUM(G280)</f>
        <v>0</v>
      </c>
      <c r="H281" s="566">
        <f t="shared" ref="H281:Q281" si="131">SUM(H280)</f>
        <v>0</v>
      </c>
      <c r="I281" s="567">
        <f t="shared" si="131"/>
        <v>0</v>
      </c>
      <c r="J281" s="404">
        <f t="shared" si="131"/>
        <v>0</v>
      </c>
      <c r="K281" s="404">
        <f t="shared" si="131"/>
        <v>0</v>
      </c>
      <c r="L281" s="404">
        <f t="shared" si="131"/>
        <v>0</v>
      </c>
      <c r="M281" s="391">
        <f t="shared" si="131"/>
        <v>0</v>
      </c>
      <c r="N281" s="477">
        <f t="shared" si="131"/>
        <v>0</v>
      </c>
      <c r="O281" s="567">
        <f t="shared" si="131"/>
        <v>0</v>
      </c>
      <c r="P281" s="404">
        <f t="shared" si="131"/>
        <v>0</v>
      </c>
      <c r="Q281" s="391">
        <f t="shared" si="131"/>
        <v>0</v>
      </c>
      <c r="R281" s="927"/>
      <c r="S281" s="564"/>
      <c r="T281" s="564"/>
      <c r="U281" s="564"/>
    </row>
    <row r="282" spans="1:21" ht="12.75" customHeight="1" thickBot="1">
      <c r="A282" s="620">
        <f>+A280+1</f>
        <v>103</v>
      </c>
      <c r="B282" s="953">
        <v>23</v>
      </c>
      <c r="C282" s="1043" t="s">
        <v>19</v>
      </c>
      <c r="D282" s="1354" t="s">
        <v>19</v>
      </c>
      <c r="E282" s="1038" t="s">
        <v>19</v>
      </c>
      <c r="F282" s="1354" t="s">
        <v>19</v>
      </c>
      <c r="G282" s="590">
        <f>+H282+N282</f>
        <v>0</v>
      </c>
      <c r="H282" s="485">
        <f>+I282+J282+K282+L282+M282</f>
        <v>0</v>
      </c>
      <c r="I282" s="561"/>
      <c r="J282" s="560"/>
      <c r="K282" s="560"/>
      <c r="L282" s="560"/>
      <c r="M282" s="505"/>
      <c r="N282" s="485">
        <f>+O282+P282+Q282</f>
        <v>0</v>
      </c>
      <c r="O282" s="561"/>
      <c r="P282" s="560"/>
      <c r="Q282" s="505"/>
      <c r="R282" s="925"/>
      <c r="S282" s="564"/>
      <c r="T282" s="564"/>
      <c r="U282" s="564"/>
    </row>
    <row r="283" spans="1:21" s="549" customFormat="1" ht="12.75" customHeight="1" thickBot="1">
      <c r="A283" s="614" t="s">
        <v>749</v>
      </c>
      <c r="B283" s="948"/>
      <c r="C283" s="1204" t="s">
        <v>766</v>
      </c>
      <c r="D283" s="1205"/>
      <c r="E283" s="1205"/>
      <c r="F283" s="1206"/>
      <c r="G283" s="566">
        <f>SUM(G282)</f>
        <v>0</v>
      </c>
      <c r="H283" s="477">
        <f t="shared" ref="H283:Q283" si="132">SUM(H282)</f>
        <v>0</v>
      </c>
      <c r="I283" s="567">
        <f t="shared" si="132"/>
        <v>0</v>
      </c>
      <c r="J283" s="404">
        <f t="shared" si="132"/>
        <v>0</v>
      </c>
      <c r="K283" s="404">
        <f t="shared" si="132"/>
        <v>0</v>
      </c>
      <c r="L283" s="404">
        <f t="shared" si="132"/>
        <v>0</v>
      </c>
      <c r="M283" s="391">
        <f t="shared" si="132"/>
        <v>0</v>
      </c>
      <c r="N283" s="477">
        <f t="shared" si="132"/>
        <v>0</v>
      </c>
      <c r="O283" s="567">
        <f t="shared" si="132"/>
        <v>0</v>
      </c>
      <c r="P283" s="404">
        <f t="shared" si="132"/>
        <v>0</v>
      </c>
      <c r="Q283" s="391">
        <f t="shared" si="132"/>
        <v>0</v>
      </c>
      <c r="R283" s="927"/>
      <c r="S283" s="564"/>
      <c r="T283" s="564"/>
      <c r="U283" s="564"/>
    </row>
    <row r="284" spans="1:21" s="549" customFormat="1" ht="12.75" customHeight="1" thickBot="1">
      <c r="A284" s="615" t="s">
        <v>21</v>
      </c>
      <c r="B284" s="949"/>
      <c r="C284" s="1201" t="s">
        <v>419</v>
      </c>
      <c r="D284" s="1202"/>
      <c r="E284" s="1202"/>
      <c r="F284" s="1203"/>
      <c r="G284" s="569">
        <f>+G279+G281+G283</f>
        <v>429317</v>
      </c>
      <c r="H284" s="607">
        <f t="shared" ref="H284:Q284" si="133">+H279+H281+H283</f>
        <v>428217</v>
      </c>
      <c r="I284" s="570">
        <f t="shared" si="133"/>
        <v>253934</v>
      </c>
      <c r="J284" s="571">
        <f t="shared" si="133"/>
        <v>49784</v>
      </c>
      <c r="K284" s="571">
        <f t="shared" si="133"/>
        <v>124499</v>
      </c>
      <c r="L284" s="571">
        <f t="shared" si="133"/>
        <v>0</v>
      </c>
      <c r="M284" s="572">
        <f t="shared" si="133"/>
        <v>0</v>
      </c>
      <c r="N284" s="608">
        <f t="shared" si="133"/>
        <v>1100</v>
      </c>
      <c r="O284" s="570">
        <f t="shared" si="133"/>
        <v>1100</v>
      </c>
      <c r="P284" s="571">
        <f t="shared" si="133"/>
        <v>0</v>
      </c>
      <c r="Q284" s="572">
        <f t="shared" si="133"/>
        <v>0</v>
      </c>
      <c r="R284" s="919"/>
      <c r="S284" s="564"/>
      <c r="T284" s="564"/>
      <c r="U284" s="564"/>
    </row>
    <row r="285" spans="1:21" s="549" customFormat="1" ht="12.75" thickBot="1">
      <c r="A285" s="614"/>
      <c r="B285" s="952"/>
      <c r="C285" s="1042"/>
      <c r="D285" s="613"/>
      <c r="E285" s="1037"/>
      <c r="F285" s="565"/>
      <c r="G285" s="566"/>
      <c r="H285" s="477"/>
      <c r="I285" s="582"/>
      <c r="J285" s="583"/>
      <c r="K285" s="583"/>
      <c r="L285" s="583"/>
      <c r="M285" s="584"/>
      <c r="N285" s="477"/>
      <c r="O285" s="582"/>
      <c r="P285" s="583"/>
      <c r="Q285" s="584"/>
      <c r="R285" s="552"/>
      <c r="S285" s="343"/>
      <c r="T285" s="343"/>
      <c r="U285" s="343"/>
    </row>
    <row r="286" spans="1:21">
      <c r="A286" s="618">
        <f>+A282+1</f>
        <v>104</v>
      </c>
      <c r="B286" s="945">
        <v>24</v>
      </c>
      <c r="C286" s="1339" t="s">
        <v>1087</v>
      </c>
      <c r="D286" s="1066" t="s">
        <v>1088</v>
      </c>
      <c r="E286" s="1340" t="s">
        <v>1225</v>
      </c>
      <c r="F286" s="1353" t="s">
        <v>1088</v>
      </c>
      <c r="G286" s="558">
        <f>+H286+N286</f>
        <v>1365</v>
      </c>
      <c r="H286" s="559">
        <f>+I286+J286+K286+L286+M286</f>
        <v>1365</v>
      </c>
      <c r="I286" s="1357"/>
      <c r="J286" s="1358"/>
      <c r="K286" s="1358">
        <v>1365</v>
      </c>
      <c r="L286" s="1358"/>
      <c r="M286" s="1359"/>
      <c r="N286" s="559">
        <f>+O286+P286+Q286</f>
        <v>0</v>
      </c>
      <c r="O286" s="1357"/>
      <c r="P286" s="1358"/>
      <c r="Q286" s="1359"/>
      <c r="R286" s="925"/>
    </row>
    <row r="287" spans="1:21">
      <c r="A287" s="618">
        <f>+A286+1</f>
        <v>105</v>
      </c>
      <c r="B287" s="945">
        <v>25</v>
      </c>
      <c r="C287" s="1339" t="s">
        <v>1090</v>
      </c>
      <c r="D287" s="1066" t="s">
        <v>1089</v>
      </c>
      <c r="E287" s="1340" t="s">
        <v>1225</v>
      </c>
      <c r="F287" s="1353" t="s">
        <v>1089</v>
      </c>
      <c r="G287" s="558">
        <f>+H287+N287</f>
        <v>17190</v>
      </c>
      <c r="H287" s="559">
        <f>+I287+J287+K287+L287+M287</f>
        <v>16872</v>
      </c>
      <c r="I287" s="1357">
        <v>10966</v>
      </c>
      <c r="J287" s="1361">
        <v>1897</v>
      </c>
      <c r="K287" s="1361">
        <v>4009</v>
      </c>
      <c r="L287" s="1361"/>
      <c r="M287" s="1362"/>
      <c r="N287" s="559">
        <f>+O287+P287+Q287</f>
        <v>318</v>
      </c>
      <c r="O287" s="1360">
        <v>318</v>
      </c>
      <c r="P287" s="1361"/>
      <c r="Q287" s="1362"/>
      <c r="R287" s="925"/>
    </row>
    <row r="288" spans="1:21">
      <c r="A288" s="618">
        <f t="shared" ref="A288:A290" si="134">+A287+1</f>
        <v>106</v>
      </c>
      <c r="B288" s="945">
        <v>26</v>
      </c>
      <c r="C288" s="1339" t="s">
        <v>1092</v>
      </c>
      <c r="D288" s="1066" t="s">
        <v>1091</v>
      </c>
      <c r="E288" s="1340" t="s">
        <v>1243</v>
      </c>
      <c r="F288" s="1353" t="s">
        <v>1095</v>
      </c>
      <c r="G288" s="558">
        <f>+H288+N288</f>
        <v>8505</v>
      </c>
      <c r="H288" s="559">
        <f>+I288+J288+K288+L288+M288</f>
        <v>6117</v>
      </c>
      <c r="I288" s="1357">
        <v>3217</v>
      </c>
      <c r="J288" s="1361">
        <v>570</v>
      </c>
      <c r="K288" s="1361">
        <v>2330</v>
      </c>
      <c r="L288" s="1361"/>
      <c r="M288" s="1362"/>
      <c r="N288" s="559">
        <f>+O288+P288+Q288</f>
        <v>2388</v>
      </c>
      <c r="O288" s="1360">
        <v>2388</v>
      </c>
      <c r="P288" s="1361"/>
      <c r="Q288" s="1362"/>
      <c r="R288" s="925"/>
    </row>
    <row r="289" spans="1:21" s="564" customFormat="1">
      <c r="A289" s="618">
        <f t="shared" si="134"/>
        <v>107</v>
      </c>
      <c r="B289" s="945">
        <v>25</v>
      </c>
      <c r="C289" s="1339" t="s">
        <v>1093</v>
      </c>
      <c r="D289" s="1066" t="s">
        <v>1094</v>
      </c>
      <c r="E289" s="1340" t="s">
        <v>1244</v>
      </c>
      <c r="F289" s="1353" t="s">
        <v>1096</v>
      </c>
      <c r="G289" s="558">
        <f>+H289+N289</f>
        <v>33070</v>
      </c>
      <c r="H289" s="559">
        <f>+I289+J289+K289+L289+M289</f>
        <v>25404</v>
      </c>
      <c r="I289" s="1357">
        <v>11638</v>
      </c>
      <c r="J289" s="1361">
        <v>2067</v>
      </c>
      <c r="K289" s="1361">
        <v>11699</v>
      </c>
      <c r="L289" s="1361"/>
      <c r="M289" s="1362"/>
      <c r="N289" s="559">
        <f>+O289+P289+Q289</f>
        <v>7666</v>
      </c>
      <c r="O289" s="1360">
        <v>7666</v>
      </c>
      <c r="P289" s="1361"/>
      <c r="Q289" s="1362"/>
      <c r="R289" s="925"/>
      <c r="S289" s="343"/>
      <c r="T289" s="343"/>
      <c r="U289" s="343"/>
    </row>
    <row r="290" spans="1:21" s="564" customFormat="1" ht="12.75" thickBot="1">
      <c r="A290" s="618">
        <f t="shared" si="134"/>
        <v>108</v>
      </c>
      <c r="B290" s="945">
        <v>25</v>
      </c>
      <c r="C290" s="1339" t="s">
        <v>1002</v>
      </c>
      <c r="D290" s="1066" t="s">
        <v>1003</v>
      </c>
      <c r="E290" s="1340" t="s">
        <v>1225</v>
      </c>
      <c r="F290" s="1353" t="s">
        <v>1089</v>
      </c>
      <c r="G290" s="558">
        <f>+H290+N290</f>
        <v>0</v>
      </c>
      <c r="H290" s="559">
        <f>+I290+J290+K290+L290+M290</f>
        <v>0</v>
      </c>
      <c r="I290" s="1357"/>
      <c r="J290" s="1361"/>
      <c r="K290" s="1361"/>
      <c r="L290" s="1361"/>
      <c r="M290" s="1362"/>
      <c r="N290" s="559">
        <f>+O290+P290+Q290</f>
        <v>0</v>
      </c>
      <c r="O290" s="1360"/>
      <c r="P290" s="1361"/>
      <c r="Q290" s="1362"/>
      <c r="R290" s="925"/>
      <c r="S290" s="343"/>
      <c r="T290" s="343"/>
      <c r="U290" s="343"/>
    </row>
    <row r="291" spans="1:21" s="549" customFormat="1" ht="12.75" customHeight="1" thickBot="1">
      <c r="A291" s="614" t="s">
        <v>750</v>
      </c>
      <c r="B291" s="948"/>
      <c r="C291" s="1204" t="s">
        <v>420</v>
      </c>
      <c r="D291" s="1205"/>
      <c r="E291" s="1205"/>
      <c r="F291" s="1206"/>
      <c r="G291" s="566">
        <f>SUM(G286:G290)</f>
        <v>60130</v>
      </c>
      <c r="H291" s="566">
        <f t="shared" ref="H291:Q291" si="135">SUM(H286:H290)</f>
        <v>49758</v>
      </c>
      <c r="I291" s="567">
        <f t="shared" si="135"/>
        <v>25821</v>
      </c>
      <c r="J291" s="404">
        <f t="shared" si="135"/>
        <v>4534</v>
      </c>
      <c r="K291" s="404">
        <f t="shared" si="135"/>
        <v>19403</v>
      </c>
      <c r="L291" s="404">
        <f t="shared" si="135"/>
        <v>0</v>
      </c>
      <c r="M291" s="391">
        <f t="shared" si="135"/>
        <v>0</v>
      </c>
      <c r="N291" s="477">
        <f t="shared" si="135"/>
        <v>10372</v>
      </c>
      <c r="O291" s="567">
        <f t="shared" si="135"/>
        <v>10372</v>
      </c>
      <c r="P291" s="404">
        <f t="shared" si="135"/>
        <v>0</v>
      </c>
      <c r="Q291" s="391">
        <f t="shared" si="135"/>
        <v>0</v>
      </c>
      <c r="R291" s="927"/>
      <c r="S291" s="343"/>
      <c r="T291" s="343"/>
      <c r="U291" s="343"/>
    </row>
    <row r="292" spans="1:21" ht="12.75" customHeight="1" thickBot="1">
      <c r="A292" s="620">
        <f>A290+1</f>
        <v>109</v>
      </c>
      <c r="B292" s="953">
        <v>27</v>
      </c>
      <c r="C292" s="1043" t="s">
        <v>19</v>
      </c>
      <c r="D292" s="611" t="s">
        <v>19</v>
      </c>
      <c r="E292" s="1038" t="s">
        <v>19</v>
      </c>
      <c r="F292" s="1355" t="s">
        <v>19</v>
      </c>
      <c r="G292" s="590">
        <f>+H292+N292</f>
        <v>0</v>
      </c>
      <c r="H292" s="485">
        <f>+I292+J292+K292+L292+M292</f>
        <v>0</v>
      </c>
      <c r="I292" s="561"/>
      <c r="J292" s="560"/>
      <c r="K292" s="560"/>
      <c r="L292" s="560"/>
      <c r="M292" s="505"/>
      <c r="N292" s="485">
        <f>+O292+P292+Q292</f>
        <v>0</v>
      </c>
      <c r="O292" s="561"/>
      <c r="P292" s="560"/>
      <c r="Q292" s="505"/>
      <c r="R292" s="925"/>
      <c r="S292" s="564"/>
      <c r="T292" s="564"/>
      <c r="U292" s="564"/>
    </row>
    <row r="293" spans="1:21" s="549" customFormat="1" ht="12.75" customHeight="1" thickBot="1">
      <c r="A293" s="614" t="s">
        <v>633</v>
      </c>
      <c r="B293" s="948"/>
      <c r="C293" s="1204" t="s">
        <v>752</v>
      </c>
      <c r="D293" s="1205"/>
      <c r="E293" s="1205"/>
      <c r="F293" s="1206"/>
      <c r="G293" s="566">
        <f>SUM(G292)</f>
        <v>0</v>
      </c>
      <c r="H293" s="566">
        <f t="shared" ref="H293:Q295" si="136">SUM(H292)</f>
        <v>0</v>
      </c>
      <c r="I293" s="567">
        <f t="shared" si="136"/>
        <v>0</v>
      </c>
      <c r="J293" s="404">
        <f t="shared" si="136"/>
        <v>0</v>
      </c>
      <c r="K293" s="404">
        <f t="shared" si="136"/>
        <v>0</v>
      </c>
      <c r="L293" s="404">
        <f t="shared" si="136"/>
        <v>0</v>
      </c>
      <c r="M293" s="391">
        <f t="shared" si="136"/>
        <v>0</v>
      </c>
      <c r="N293" s="477">
        <f t="shared" si="136"/>
        <v>0</v>
      </c>
      <c r="O293" s="567">
        <f t="shared" si="136"/>
        <v>0</v>
      </c>
      <c r="P293" s="404">
        <f t="shared" si="136"/>
        <v>0</v>
      </c>
      <c r="Q293" s="391">
        <f t="shared" si="136"/>
        <v>0</v>
      </c>
      <c r="R293" s="927"/>
    </row>
    <row r="294" spans="1:21" ht="12.75" customHeight="1" thickBot="1">
      <c r="A294" s="620">
        <f>+A292+1</f>
        <v>110</v>
      </c>
      <c r="B294" s="953">
        <v>28</v>
      </c>
      <c r="C294" s="1043" t="s">
        <v>19</v>
      </c>
      <c r="D294" s="611" t="s">
        <v>19</v>
      </c>
      <c r="E294" s="1038" t="s">
        <v>19</v>
      </c>
      <c r="F294" s="1355" t="s">
        <v>19</v>
      </c>
      <c r="G294" s="590">
        <f>+H294+N294</f>
        <v>0</v>
      </c>
      <c r="H294" s="485">
        <f>+I294+J294+K294+L294+M294</f>
        <v>0</v>
      </c>
      <c r="I294" s="561"/>
      <c r="J294" s="560"/>
      <c r="K294" s="560"/>
      <c r="L294" s="560"/>
      <c r="M294" s="505"/>
      <c r="N294" s="485">
        <f>+O294+P294+Q294</f>
        <v>0</v>
      </c>
      <c r="O294" s="561"/>
      <c r="P294" s="560"/>
      <c r="Q294" s="505"/>
      <c r="R294" s="925"/>
      <c r="S294" s="564"/>
      <c r="T294" s="564"/>
      <c r="U294" s="564"/>
    </row>
    <row r="295" spans="1:21" s="549" customFormat="1" ht="12.75" customHeight="1" thickBot="1">
      <c r="A295" s="614" t="s">
        <v>751</v>
      </c>
      <c r="B295" s="948"/>
      <c r="C295" s="1204" t="s">
        <v>767</v>
      </c>
      <c r="D295" s="1205"/>
      <c r="E295" s="1205"/>
      <c r="F295" s="1206"/>
      <c r="G295" s="566">
        <f>SUM(G294)</f>
        <v>0</v>
      </c>
      <c r="H295" s="566">
        <f t="shared" si="136"/>
        <v>0</v>
      </c>
      <c r="I295" s="567">
        <f t="shared" si="136"/>
        <v>0</v>
      </c>
      <c r="J295" s="404">
        <f t="shared" si="136"/>
        <v>0</v>
      </c>
      <c r="K295" s="404">
        <f t="shared" si="136"/>
        <v>0</v>
      </c>
      <c r="L295" s="404">
        <f t="shared" si="136"/>
        <v>0</v>
      </c>
      <c r="M295" s="391">
        <f t="shared" si="136"/>
        <v>0</v>
      </c>
      <c r="N295" s="477">
        <f t="shared" si="136"/>
        <v>0</v>
      </c>
      <c r="O295" s="567">
        <f t="shared" si="136"/>
        <v>0</v>
      </c>
      <c r="P295" s="404">
        <f t="shared" si="136"/>
        <v>0</v>
      </c>
      <c r="Q295" s="391">
        <f t="shared" si="136"/>
        <v>0</v>
      </c>
      <c r="R295" s="927"/>
    </row>
    <row r="296" spans="1:21" s="564" customFormat="1" ht="12.75" customHeight="1" thickBot="1">
      <c r="A296" s="615" t="s">
        <v>20</v>
      </c>
      <c r="B296" s="949"/>
      <c r="C296" s="1201" t="s">
        <v>422</v>
      </c>
      <c r="D296" s="1202"/>
      <c r="E296" s="1202"/>
      <c r="F296" s="1203"/>
      <c r="G296" s="569">
        <f>+G291+G293+G295</f>
        <v>60130</v>
      </c>
      <c r="H296" s="607">
        <f t="shared" ref="H296:Q296" si="137">+H291+H293+H295</f>
        <v>49758</v>
      </c>
      <c r="I296" s="570">
        <f t="shared" si="137"/>
        <v>25821</v>
      </c>
      <c r="J296" s="571">
        <f t="shared" si="137"/>
        <v>4534</v>
      </c>
      <c r="K296" s="571">
        <f t="shared" si="137"/>
        <v>19403</v>
      </c>
      <c r="L296" s="571">
        <f t="shared" si="137"/>
        <v>0</v>
      </c>
      <c r="M296" s="572">
        <f t="shared" si="137"/>
        <v>0</v>
      </c>
      <c r="N296" s="608">
        <f t="shared" si="137"/>
        <v>10372</v>
      </c>
      <c r="O296" s="570">
        <f t="shared" si="137"/>
        <v>10372</v>
      </c>
      <c r="P296" s="571">
        <f t="shared" si="137"/>
        <v>0</v>
      </c>
      <c r="Q296" s="572">
        <f t="shared" si="137"/>
        <v>0</v>
      </c>
      <c r="R296" s="919"/>
      <c r="S296" s="549"/>
      <c r="T296" s="549"/>
      <c r="U296" s="549"/>
    </row>
    <row r="297" spans="1:21" ht="12.75" thickBot="1">
      <c r="A297" s="614"/>
      <c r="B297" s="952"/>
      <c r="C297" s="1042"/>
      <c r="D297" s="613"/>
      <c r="E297" s="1037"/>
      <c r="F297" s="565"/>
      <c r="G297" s="566"/>
      <c r="H297" s="477"/>
      <c r="I297" s="977"/>
      <c r="J297" s="978"/>
      <c r="K297" s="978"/>
      <c r="L297" s="978"/>
      <c r="M297" s="979"/>
      <c r="N297" s="477"/>
      <c r="O297" s="977"/>
      <c r="P297" s="978"/>
      <c r="Q297" s="979"/>
      <c r="R297" s="551"/>
      <c r="S297" s="549"/>
      <c r="T297" s="549"/>
      <c r="U297" s="549"/>
    </row>
    <row r="298" spans="1:21" ht="12.75" customHeight="1" thickBot="1">
      <c r="A298" s="618">
        <f>A294+1</f>
        <v>111</v>
      </c>
      <c r="B298" s="946">
        <v>29</v>
      </c>
      <c r="C298" s="1339" t="s">
        <v>19</v>
      </c>
      <c r="D298" s="1066" t="s">
        <v>19</v>
      </c>
      <c r="E298" s="1340" t="s">
        <v>19</v>
      </c>
      <c r="F298" s="1353" t="s">
        <v>19</v>
      </c>
      <c r="G298" s="540">
        <f>+H298+N298</f>
        <v>0</v>
      </c>
      <c r="H298" s="541">
        <f>+I298+J298+K298+L298+M298</f>
        <v>0</v>
      </c>
      <c r="I298" s="1357"/>
      <c r="J298" s="1358"/>
      <c r="K298" s="1358"/>
      <c r="L298" s="1358"/>
      <c r="M298" s="1359"/>
      <c r="N298" s="541">
        <f>+O298+P298+Q298</f>
        <v>0</v>
      </c>
      <c r="O298" s="1357"/>
      <c r="P298" s="1358"/>
      <c r="Q298" s="1359"/>
      <c r="R298" s="925"/>
      <c r="S298" s="564"/>
      <c r="T298" s="564"/>
      <c r="U298" s="564"/>
    </row>
    <row r="299" spans="1:21" s="549" customFormat="1" ht="12.75" customHeight="1" thickBot="1">
      <c r="A299" s="614" t="s">
        <v>885</v>
      </c>
      <c r="B299" s="948"/>
      <c r="C299" s="1204" t="s">
        <v>860</v>
      </c>
      <c r="D299" s="1205"/>
      <c r="E299" s="1205"/>
      <c r="F299" s="1206"/>
      <c r="G299" s="566">
        <f>SUM(G298)</f>
        <v>0</v>
      </c>
      <c r="H299" s="566">
        <f t="shared" ref="H299:Q299" si="138">SUM(H298)</f>
        <v>0</v>
      </c>
      <c r="I299" s="567">
        <f t="shared" si="138"/>
        <v>0</v>
      </c>
      <c r="J299" s="404">
        <f t="shared" si="138"/>
        <v>0</v>
      </c>
      <c r="K299" s="404">
        <f t="shared" si="138"/>
        <v>0</v>
      </c>
      <c r="L299" s="404">
        <f t="shared" si="138"/>
        <v>0</v>
      </c>
      <c r="M299" s="391">
        <f t="shared" si="138"/>
        <v>0</v>
      </c>
      <c r="N299" s="477">
        <f t="shared" si="138"/>
        <v>0</v>
      </c>
      <c r="O299" s="567">
        <f t="shared" si="138"/>
        <v>0</v>
      </c>
      <c r="P299" s="404">
        <f t="shared" si="138"/>
        <v>0</v>
      </c>
      <c r="Q299" s="391">
        <f t="shared" si="138"/>
        <v>0</v>
      </c>
      <c r="R299" s="927"/>
      <c r="S299" s="343"/>
      <c r="T299" s="343"/>
      <c r="U299" s="343"/>
    </row>
    <row r="300" spans="1:21" ht="12.75" customHeight="1">
      <c r="A300" s="1002">
        <f>A298+1</f>
        <v>112</v>
      </c>
      <c r="B300" s="951">
        <v>30</v>
      </c>
      <c r="C300" s="1350" t="s">
        <v>1073</v>
      </c>
      <c r="D300" s="1077" t="s">
        <v>1074</v>
      </c>
      <c r="E300" s="1351" t="s">
        <v>1225</v>
      </c>
      <c r="F300" s="1356" t="s">
        <v>1074</v>
      </c>
      <c r="G300" s="538">
        <f>+H300+N300</f>
        <v>12779</v>
      </c>
      <c r="H300" s="539">
        <f>+I300+J300+K300+L300+M300</f>
        <v>11779</v>
      </c>
      <c r="I300" s="1363">
        <v>9352</v>
      </c>
      <c r="J300" s="1364">
        <v>1371</v>
      </c>
      <c r="K300" s="1364">
        <v>1056</v>
      </c>
      <c r="L300" s="1364"/>
      <c r="M300" s="1365"/>
      <c r="N300" s="539">
        <f>+O300+P300+Q300</f>
        <v>1000</v>
      </c>
      <c r="O300" s="1363">
        <v>1000</v>
      </c>
      <c r="P300" s="1364"/>
      <c r="Q300" s="1365"/>
      <c r="R300" s="925"/>
      <c r="S300" s="564"/>
      <c r="T300" s="564"/>
      <c r="U300" s="564"/>
    </row>
    <row r="301" spans="1:21" ht="12.75" customHeight="1" thickBot="1">
      <c r="A301" s="620">
        <f>A300+1</f>
        <v>113</v>
      </c>
      <c r="B301" s="953">
        <v>30</v>
      </c>
      <c r="C301" s="1339" t="s">
        <v>1002</v>
      </c>
      <c r="D301" s="611" t="s">
        <v>1003</v>
      </c>
      <c r="E301" s="1038" t="s">
        <v>1225</v>
      </c>
      <c r="F301" s="1355" t="s">
        <v>1074</v>
      </c>
      <c r="G301" s="590">
        <f>+H301+N301</f>
        <v>8014</v>
      </c>
      <c r="H301" s="485">
        <f>+I301+J301+K301+L301+M301</f>
        <v>8014</v>
      </c>
      <c r="I301" s="561"/>
      <c r="J301" s="560"/>
      <c r="K301" s="560"/>
      <c r="L301" s="560"/>
      <c r="M301" s="505">
        <v>8014</v>
      </c>
      <c r="N301" s="485">
        <f>+O301+P301+Q301</f>
        <v>0</v>
      </c>
      <c r="O301" s="561"/>
      <c r="P301" s="560"/>
      <c r="Q301" s="505"/>
      <c r="R301" s="925"/>
      <c r="S301" s="564"/>
      <c r="T301" s="564"/>
      <c r="U301" s="564"/>
    </row>
    <row r="302" spans="1:21" s="549" customFormat="1" ht="12.75" customHeight="1" thickBot="1">
      <c r="A302" s="614" t="s">
        <v>886</v>
      </c>
      <c r="B302" s="948"/>
      <c r="C302" s="1204" t="s">
        <v>861</v>
      </c>
      <c r="D302" s="1205"/>
      <c r="E302" s="1205"/>
      <c r="F302" s="1206"/>
      <c r="G302" s="566">
        <f>SUM(G300:G301)</f>
        <v>20793</v>
      </c>
      <c r="H302" s="566">
        <f t="shared" ref="H302:Q302" si="139">SUM(H300:H301)</f>
        <v>19793</v>
      </c>
      <c r="I302" s="567">
        <f t="shared" si="139"/>
        <v>9352</v>
      </c>
      <c r="J302" s="404">
        <f t="shared" si="139"/>
        <v>1371</v>
      </c>
      <c r="K302" s="404">
        <f t="shared" si="139"/>
        <v>1056</v>
      </c>
      <c r="L302" s="404">
        <f t="shared" si="139"/>
        <v>0</v>
      </c>
      <c r="M302" s="391">
        <f t="shared" si="139"/>
        <v>8014</v>
      </c>
      <c r="N302" s="477">
        <f t="shared" si="139"/>
        <v>1000</v>
      </c>
      <c r="O302" s="567">
        <f t="shared" si="139"/>
        <v>1000</v>
      </c>
      <c r="P302" s="404">
        <f t="shared" si="139"/>
        <v>0</v>
      </c>
      <c r="Q302" s="391">
        <f t="shared" si="139"/>
        <v>0</v>
      </c>
      <c r="R302" s="927"/>
    </row>
    <row r="303" spans="1:21" ht="12.75" customHeight="1" thickBot="1">
      <c r="A303" s="620">
        <f>+A301+1</f>
        <v>114</v>
      </c>
      <c r="B303" s="953">
        <v>31</v>
      </c>
      <c r="C303" s="1043" t="s">
        <v>19</v>
      </c>
      <c r="D303" s="611" t="s">
        <v>19</v>
      </c>
      <c r="E303" s="1038" t="s">
        <v>19</v>
      </c>
      <c r="F303" s="1355" t="s">
        <v>19</v>
      </c>
      <c r="G303" s="590">
        <f>+H303+N303</f>
        <v>0</v>
      </c>
      <c r="H303" s="485">
        <f>+I303+J303+K303+L303+M303</f>
        <v>0</v>
      </c>
      <c r="I303" s="561"/>
      <c r="J303" s="560"/>
      <c r="K303" s="560"/>
      <c r="L303" s="560"/>
      <c r="M303" s="505"/>
      <c r="N303" s="485">
        <f>+O303+P303+Q303</f>
        <v>0</v>
      </c>
      <c r="O303" s="561"/>
      <c r="P303" s="560"/>
      <c r="Q303" s="505"/>
      <c r="R303" s="925"/>
      <c r="S303" s="564"/>
      <c r="T303" s="564"/>
      <c r="U303" s="564"/>
    </row>
    <row r="304" spans="1:21" s="549" customFormat="1" ht="12.75" customHeight="1" thickBot="1">
      <c r="A304" s="614" t="s">
        <v>887</v>
      </c>
      <c r="B304" s="948"/>
      <c r="C304" s="1204" t="s">
        <v>888</v>
      </c>
      <c r="D304" s="1205"/>
      <c r="E304" s="1205"/>
      <c r="F304" s="1206"/>
      <c r="G304" s="566">
        <f>SUM(G303)</f>
        <v>0</v>
      </c>
      <c r="H304" s="566">
        <f t="shared" ref="H304:Q304" si="140">SUM(H303)</f>
        <v>0</v>
      </c>
      <c r="I304" s="567">
        <f t="shared" si="140"/>
        <v>0</v>
      </c>
      <c r="J304" s="404">
        <f t="shared" si="140"/>
        <v>0</v>
      </c>
      <c r="K304" s="404">
        <f t="shared" si="140"/>
        <v>0</v>
      </c>
      <c r="L304" s="404">
        <f t="shared" si="140"/>
        <v>0</v>
      </c>
      <c r="M304" s="391">
        <f t="shared" si="140"/>
        <v>0</v>
      </c>
      <c r="N304" s="477">
        <f t="shared" si="140"/>
        <v>0</v>
      </c>
      <c r="O304" s="567">
        <f t="shared" si="140"/>
        <v>0</v>
      </c>
      <c r="P304" s="404">
        <f t="shared" si="140"/>
        <v>0</v>
      </c>
      <c r="Q304" s="391">
        <f t="shared" si="140"/>
        <v>0</v>
      </c>
      <c r="R304" s="927"/>
    </row>
    <row r="305" spans="1:21" s="564" customFormat="1" ht="12.75" customHeight="1" thickBot="1">
      <c r="A305" s="615" t="s">
        <v>552</v>
      </c>
      <c r="B305" s="949"/>
      <c r="C305" s="1201" t="s">
        <v>862</v>
      </c>
      <c r="D305" s="1202"/>
      <c r="E305" s="1202"/>
      <c r="F305" s="1203"/>
      <c r="G305" s="569">
        <f>+G299+G302+G304</f>
        <v>20793</v>
      </c>
      <c r="H305" s="607">
        <f t="shared" ref="H305:Q305" si="141">+H299+H302+H304</f>
        <v>19793</v>
      </c>
      <c r="I305" s="570">
        <f t="shared" si="141"/>
        <v>9352</v>
      </c>
      <c r="J305" s="571">
        <f t="shared" si="141"/>
        <v>1371</v>
      </c>
      <c r="K305" s="571">
        <f t="shared" si="141"/>
        <v>1056</v>
      </c>
      <c r="L305" s="571">
        <f t="shared" si="141"/>
        <v>0</v>
      </c>
      <c r="M305" s="572">
        <f t="shared" si="141"/>
        <v>8014</v>
      </c>
      <c r="N305" s="608">
        <f t="shared" si="141"/>
        <v>1000</v>
      </c>
      <c r="O305" s="570">
        <f t="shared" si="141"/>
        <v>1000</v>
      </c>
      <c r="P305" s="571">
        <f t="shared" si="141"/>
        <v>0</v>
      </c>
      <c r="Q305" s="572">
        <f t="shared" si="141"/>
        <v>0</v>
      </c>
      <c r="R305" s="919"/>
      <c r="S305" s="549"/>
      <c r="T305" s="549"/>
      <c r="U305" s="549"/>
    </row>
    <row r="306" spans="1:21" s="549" customFormat="1" ht="12.75" thickBot="1">
      <c r="A306" s="614"/>
      <c r="B306" s="952"/>
      <c r="C306" s="1042"/>
      <c r="D306" s="613"/>
      <c r="E306" s="1037"/>
      <c r="F306" s="565"/>
      <c r="G306" s="566"/>
      <c r="H306" s="477"/>
      <c r="I306" s="582"/>
      <c r="J306" s="583"/>
      <c r="K306" s="583"/>
      <c r="L306" s="583"/>
      <c r="M306" s="584"/>
      <c r="N306" s="477"/>
      <c r="O306" s="582"/>
      <c r="P306" s="583"/>
      <c r="Q306" s="584"/>
      <c r="R306" s="552"/>
      <c r="S306" s="343"/>
      <c r="T306" s="343"/>
      <c r="U306" s="343"/>
    </row>
    <row r="307" spans="1:21">
      <c r="A307" s="618">
        <f>+A303+1</f>
        <v>115</v>
      </c>
      <c r="B307" s="945">
        <v>32</v>
      </c>
      <c r="C307" s="1339" t="s">
        <v>1023</v>
      </c>
      <c r="D307" s="1066" t="s">
        <v>1024</v>
      </c>
      <c r="E307" s="1340" t="s">
        <v>1245</v>
      </c>
      <c r="F307" s="1353" t="s">
        <v>1025</v>
      </c>
      <c r="G307" s="558">
        <f>+H307+N307</f>
        <v>0</v>
      </c>
      <c r="H307" s="559">
        <f>+I307+J307+K307+L307+M307</f>
        <v>0</v>
      </c>
      <c r="I307" s="1357"/>
      <c r="J307" s="1358"/>
      <c r="K307" s="1358"/>
      <c r="L307" s="1358"/>
      <c r="M307" s="1359"/>
      <c r="N307" s="559">
        <f>+O307+P307+Q307</f>
        <v>0</v>
      </c>
      <c r="O307" s="1357"/>
      <c r="P307" s="1358"/>
      <c r="Q307" s="1359"/>
      <c r="R307" s="925"/>
    </row>
    <row r="308" spans="1:21">
      <c r="A308" s="618">
        <f>+A307+1</f>
        <v>116</v>
      </c>
      <c r="B308" s="945">
        <v>32</v>
      </c>
      <c r="C308" s="1339" t="s">
        <v>1023</v>
      </c>
      <c r="D308" s="1066" t="s">
        <v>1024</v>
      </c>
      <c r="E308" s="1340" t="s">
        <v>1246</v>
      </c>
      <c r="F308" s="1353" t="s">
        <v>1026</v>
      </c>
      <c r="G308" s="558">
        <f>+H308+N308</f>
        <v>44718</v>
      </c>
      <c r="H308" s="559">
        <f>+I308+J308+K308+L308+M308</f>
        <v>44718</v>
      </c>
      <c r="I308" s="1357">
        <v>35576</v>
      </c>
      <c r="J308" s="1361">
        <v>6230</v>
      </c>
      <c r="K308" s="1361">
        <v>2912</v>
      </c>
      <c r="L308" s="1361"/>
      <c r="M308" s="1362"/>
      <c r="N308" s="559">
        <f>+O308+P308+Q308</f>
        <v>0</v>
      </c>
      <c r="O308" s="1360"/>
      <c r="P308" s="1361"/>
      <c r="Q308" s="1362"/>
      <c r="R308" s="925"/>
    </row>
    <row r="309" spans="1:21">
      <c r="A309" s="618">
        <f>+A308+1</f>
        <v>117</v>
      </c>
      <c r="B309" s="945">
        <v>32</v>
      </c>
      <c r="C309" s="1339" t="s">
        <v>1028</v>
      </c>
      <c r="D309" s="1066" t="s">
        <v>1027</v>
      </c>
      <c r="E309" s="1340" t="s">
        <v>1245</v>
      </c>
      <c r="F309" s="1353" t="s">
        <v>1025</v>
      </c>
      <c r="G309" s="558">
        <f>+H309+N309</f>
        <v>38882</v>
      </c>
      <c r="H309" s="559">
        <f>+I309+J309+K309+L309+M309</f>
        <v>38882</v>
      </c>
      <c r="I309" s="1357">
        <v>25963</v>
      </c>
      <c r="J309" s="1361">
        <v>4593</v>
      </c>
      <c r="K309" s="1361">
        <v>8326</v>
      </c>
      <c r="L309" s="1361"/>
      <c r="M309" s="1362"/>
      <c r="N309" s="559">
        <f>+O309+P309+Q309</f>
        <v>0</v>
      </c>
      <c r="O309" s="1360"/>
      <c r="P309" s="1361"/>
      <c r="Q309" s="1362"/>
      <c r="R309" s="925"/>
    </row>
    <row r="310" spans="1:21" s="564" customFormat="1">
      <c r="A310" s="618">
        <f t="shared" ref="A310:A311" si="142">+A309+1</f>
        <v>118</v>
      </c>
      <c r="B310" s="945">
        <v>32</v>
      </c>
      <c r="C310" s="1339" t="s">
        <v>1028</v>
      </c>
      <c r="D310" s="1066" t="s">
        <v>1027</v>
      </c>
      <c r="E310" s="1340" t="s">
        <v>1246</v>
      </c>
      <c r="F310" s="1353" t="s">
        <v>1026</v>
      </c>
      <c r="G310" s="558">
        <f>+H310+N310</f>
        <v>0</v>
      </c>
      <c r="H310" s="559">
        <f>+I310+J310+K310+L310+M310</f>
        <v>0</v>
      </c>
      <c r="I310" s="1357"/>
      <c r="J310" s="1361"/>
      <c r="K310" s="1361"/>
      <c r="L310" s="1361"/>
      <c r="M310" s="1362"/>
      <c r="N310" s="559">
        <f>+O310+P310+Q310</f>
        <v>0</v>
      </c>
      <c r="O310" s="1360"/>
      <c r="P310" s="1361"/>
      <c r="Q310" s="1362"/>
      <c r="R310" s="925"/>
      <c r="S310" s="343"/>
      <c r="T310" s="343"/>
      <c r="U310" s="343"/>
    </row>
    <row r="311" spans="1:21" s="564" customFormat="1" ht="12.75" thickBot="1">
      <c r="A311" s="618">
        <f t="shared" si="142"/>
        <v>119</v>
      </c>
      <c r="B311" s="945">
        <v>32</v>
      </c>
      <c r="C311" s="1339" t="s">
        <v>1002</v>
      </c>
      <c r="D311" s="1066" t="s">
        <v>1003</v>
      </c>
      <c r="E311" s="1340" t="s">
        <v>1245</v>
      </c>
      <c r="F311" s="1353" t="s">
        <v>1025</v>
      </c>
      <c r="G311" s="558">
        <f>+H311+N311</f>
        <v>0</v>
      </c>
      <c r="H311" s="559">
        <f>+I311+J311+K311+L311+M311</f>
        <v>0</v>
      </c>
      <c r="I311" s="1357"/>
      <c r="J311" s="1361"/>
      <c r="K311" s="1361"/>
      <c r="L311" s="1361"/>
      <c r="M311" s="1362"/>
      <c r="N311" s="559">
        <f>+O311+P311+Q311</f>
        <v>0</v>
      </c>
      <c r="O311" s="1360"/>
      <c r="P311" s="1361"/>
      <c r="Q311" s="1362"/>
      <c r="R311" s="925"/>
      <c r="S311" s="343"/>
      <c r="T311" s="343"/>
      <c r="U311" s="343"/>
    </row>
    <row r="312" spans="1:21" s="549" customFormat="1" ht="12.75" customHeight="1" thickBot="1">
      <c r="A312" s="614" t="s">
        <v>1141</v>
      </c>
      <c r="B312" s="948"/>
      <c r="C312" s="1204" t="s">
        <v>1098</v>
      </c>
      <c r="D312" s="1205"/>
      <c r="E312" s="1205"/>
      <c r="F312" s="1206"/>
      <c r="G312" s="566">
        <f t="shared" ref="G312:Q312" si="143">SUM(G307:G311)</f>
        <v>83600</v>
      </c>
      <c r="H312" s="566">
        <f t="shared" si="143"/>
        <v>83600</v>
      </c>
      <c r="I312" s="567">
        <f t="shared" si="143"/>
        <v>61539</v>
      </c>
      <c r="J312" s="404">
        <f t="shared" si="143"/>
        <v>10823</v>
      </c>
      <c r="K312" s="404">
        <f t="shared" si="143"/>
        <v>11238</v>
      </c>
      <c r="L312" s="404">
        <f t="shared" si="143"/>
        <v>0</v>
      </c>
      <c r="M312" s="391">
        <f t="shared" si="143"/>
        <v>0</v>
      </c>
      <c r="N312" s="477">
        <f t="shared" si="143"/>
        <v>0</v>
      </c>
      <c r="O312" s="567">
        <f t="shared" si="143"/>
        <v>0</v>
      </c>
      <c r="P312" s="404">
        <f t="shared" si="143"/>
        <v>0</v>
      </c>
      <c r="Q312" s="391">
        <f t="shared" si="143"/>
        <v>0</v>
      </c>
      <c r="R312" s="927"/>
      <c r="S312" s="343"/>
      <c r="T312" s="343"/>
      <c r="U312" s="343"/>
    </row>
    <row r="313" spans="1:21" ht="12.75" customHeight="1" thickBot="1">
      <c r="A313" s="620">
        <f>A311+1</f>
        <v>120</v>
      </c>
      <c r="B313" s="953">
        <v>33</v>
      </c>
      <c r="C313" s="1043" t="s">
        <v>19</v>
      </c>
      <c r="D313" s="611" t="s">
        <v>19</v>
      </c>
      <c r="E313" s="1038" t="s">
        <v>19</v>
      </c>
      <c r="F313" s="1355" t="s">
        <v>19</v>
      </c>
      <c r="G313" s="590">
        <f>+H313+N313</f>
        <v>0</v>
      </c>
      <c r="H313" s="485">
        <f>+I313+J313+K313+L313+M313</f>
        <v>0</v>
      </c>
      <c r="I313" s="561"/>
      <c r="J313" s="560"/>
      <c r="K313" s="560"/>
      <c r="L313" s="560"/>
      <c r="M313" s="505"/>
      <c r="N313" s="485">
        <f>+O313+P313+Q313</f>
        <v>0</v>
      </c>
      <c r="O313" s="561"/>
      <c r="P313" s="560"/>
      <c r="Q313" s="505"/>
      <c r="R313" s="925"/>
      <c r="S313" s="564"/>
      <c r="T313" s="564"/>
      <c r="U313" s="564"/>
    </row>
    <row r="314" spans="1:21" s="549" customFormat="1" ht="12.75" customHeight="1" thickBot="1">
      <c r="A314" s="614" t="s">
        <v>1142</v>
      </c>
      <c r="B314" s="948"/>
      <c r="C314" s="1204" t="s">
        <v>1099</v>
      </c>
      <c r="D314" s="1205"/>
      <c r="E314" s="1205"/>
      <c r="F314" s="1206"/>
      <c r="G314" s="566">
        <f>SUM(G313)</f>
        <v>0</v>
      </c>
      <c r="H314" s="566">
        <f t="shared" ref="H314:Q314" si="144">SUM(H313)</f>
        <v>0</v>
      </c>
      <c r="I314" s="567">
        <f t="shared" si="144"/>
        <v>0</v>
      </c>
      <c r="J314" s="404">
        <f t="shared" si="144"/>
        <v>0</v>
      </c>
      <c r="K314" s="404">
        <f t="shared" si="144"/>
        <v>0</v>
      </c>
      <c r="L314" s="404">
        <f t="shared" si="144"/>
        <v>0</v>
      </c>
      <c r="M314" s="391">
        <f t="shared" si="144"/>
        <v>0</v>
      </c>
      <c r="N314" s="477">
        <f t="shared" si="144"/>
        <v>0</v>
      </c>
      <c r="O314" s="567">
        <f t="shared" si="144"/>
        <v>0</v>
      </c>
      <c r="P314" s="404">
        <f t="shared" si="144"/>
        <v>0</v>
      </c>
      <c r="Q314" s="391">
        <f t="shared" si="144"/>
        <v>0</v>
      </c>
      <c r="R314" s="927"/>
    </row>
    <row r="315" spans="1:21" ht="12.75" customHeight="1" thickBot="1">
      <c r="A315" s="620">
        <f>+A313+1</f>
        <v>121</v>
      </c>
      <c r="B315" s="953">
        <v>34</v>
      </c>
      <c r="C315" s="1043" t="s">
        <v>19</v>
      </c>
      <c r="D315" s="611" t="s">
        <v>19</v>
      </c>
      <c r="E315" s="1038" t="s">
        <v>19</v>
      </c>
      <c r="F315" s="1355" t="s">
        <v>19</v>
      </c>
      <c r="G315" s="590">
        <f>+H315+N315</f>
        <v>0</v>
      </c>
      <c r="H315" s="485">
        <f>+I315+J315+K315+L315+M315</f>
        <v>0</v>
      </c>
      <c r="I315" s="561"/>
      <c r="J315" s="560"/>
      <c r="K315" s="560"/>
      <c r="L315" s="560"/>
      <c r="M315" s="505"/>
      <c r="N315" s="485">
        <f>+O315+P315+Q315</f>
        <v>0</v>
      </c>
      <c r="O315" s="561"/>
      <c r="P315" s="560"/>
      <c r="Q315" s="505"/>
      <c r="R315" s="925"/>
      <c r="S315" s="564"/>
      <c r="T315" s="564"/>
      <c r="U315" s="564"/>
    </row>
    <row r="316" spans="1:21" s="549" customFormat="1" ht="12.75" customHeight="1" thickBot="1">
      <c r="A316" s="614" t="s">
        <v>1143</v>
      </c>
      <c r="B316" s="948"/>
      <c r="C316" s="1204" t="s">
        <v>1100</v>
      </c>
      <c r="D316" s="1205"/>
      <c r="E316" s="1205"/>
      <c r="F316" s="1206"/>
      <c r="G316" s="566">
        <f>SUM(G315)</f>
        <v>0</v>
      </c>
      <c r="H316" s="566">
        <f t="shared" ref="H316:Q316" si="145">SUM(H315)</f>
        <v>0</v>
      </c>
      <c r="I316" s="567">
        <f t="shared" si="145"/>
        <v>0</v>
      </c>
      <c r="J316" s="404">
        <f t="shared" si="145"/>
        <v>0</v>
      </c>
      <c r="K316" s="404">
        <f t="shared" si="145"/>
        <v>0</v>
      </c>
      <c r="L316" s="404">
        <f t="shared" si="145"/>
        <v>0</v>
      </c>
      <c r="M316" s="391">
        <f t="shared" si="145"/>
        <v>0</v>
      </c>
      <c r="N316" s="477">
        <f t="shared" si="145"/>
        <v>0</v>
      </c>
      <c r="O316" s="567">
        <f t="shared" si="145"/>
        <v>0</v>
      </c>
      <c r="P316" s="404">
        <f t="shared" si="145"/>
        <v>0</v>
      </c>
      <c r="Q316" s="391">
        <f t="shared" si="145"/>
        <v>0</v>
      </c>
      <c r="R316" s="927"/>
    </row>
    <row r="317" spans="1:21" s="564" customFormat="1" ht="12.75" customHeight="1" thickBot="1">
      <c r="A317" s="615" t="s">
        <v>42</v>
      </c>
      <c r="B317" s="949"/>
      <c r="C317" s="1201" t="s">
        <v>1101</v>
      </c>
      <c r="D317" s="1202"/>
      <c r="E317" s="1202"/>
      <c r="F317" s="1203"/>
      <c r="G317" s="569">
        <f t="shared" ref="G317:Q317" si="146">+G312+G314+G316</f>
        <v>83600</v>
      </c>
      <c r="H317" s="607">
        <f t="shared" si="146"/>
        <v>83600</v>
      </c>
      <c r="I317" s="570">
        <f t="shared" si="146"/>
        <v>61539</v>
      </c>
      <c r="J317" s="571">
        <f t="shared" si="146"/>
        <v>10823</v>
      </c>
      <c r="K317" s="571">
        <f t="shared" si="146"/>
        <v>11238</v>
      </c>
      <c r="L317" s="571">
        <f t="shared" si="146"/>
        <v>0</v>
      </c>
      <c r="M317" s="572">
        <f t="shared" si="146"/>
        <v>0</v>
      </c>
      <c r="N317" s="608">
        <f t="shared" si="146"/>
        <v>0</v>
      </c>
      <c r="O317" s="570">
        <f t="shared" si="146"/>
        <v>0</v>
      </c>
      <c r="P317" s="571">
        <f t="shared" si="146"/>
        <v>0</v>
      </c>
      <c r="Q317" s="572">
        <f t="shared" si="146"/>
        <v>0</v>
      </c>
      <c r="R317" s="919"/>
      <c r="S317" s="549"/>
      <c r="T317" s="549"/>
      <c r="U317" s="549"/>
    </row>
    <row r="318" spans="1:21" ht="12.75" thickBot="1">
      <c r="A318" s="620"/>
      <c r="B318" s="953"/>
      <c r="C318" s="1043"/>
      <c r="D318" s="611"/>
      <c r="E318" s="1038"/>
      <c r="F318" s="589"/>
      <c r="G318" s="590"/>
      <c r="H318" s="485"/>
      <c r="I318" s="561"/>
      <c r="J318" s="560"/>
      <c r="K318" s="560"/>
      <c r="L318" s="560"/>
      <c r="M318" s="505"/>
      <c r="N318" s="485"/>
      <c r="O318" s="561"/>
      <c r="P318" s="560"/>
      <c r="Q318" s="505"/>
      <c r="R318" s="551"/>
      <c r="S318" s="549"/>
      <c r="T318" s="549"/>
      <c r="U318" s="549"/>
    </row>
    <row r="319" spans="1:21" s="549" customFormat="1" ht="12.75" customHeight="1" thickBot="1">
      <c r="A319" s="615" t="s">
        <v>41</v>
      </c>
      <c r="B319" s="949"/>
      <c r="C319" s="1201" t="s">
        <v>893</v>
      </c>
      <c r="D319" s="1202"/>
      <c r="E319" s="1202"/>
      <c r="F319" s="1203"/>
      <c r="G319" s="591">
        <f>+G251+G271+G284+G296+G305+G317</f>
        <v>4522728</v>
      </c>
      <c r="H319" s="592">
        <f t="shared" ref="H319:Q319" si="147">+H251+H271+H284+H296+H305+H317</f>
        <v>4018748</v>
      </c>
      <c r="I319" s="593">
        <f t="shared" si="147"/>
        <v>715534</v>
      </c>
      <c r="J319" s="594">
        <f t="shared" si="147"/>
        <v>130817</v>
      </c>
      <c r="K319" s="594">
        <f t="shared" si="147"/>
        <v>401997</v>
      </c>
      <c r="L319" s="594">
        <f t="shared" si="147"/>
        <v>52779</v>
      </c>
      <c r="M319" s="592">
        <f t="shared" si="147"/>
        <v>2717621</v>
      </c>
      <c r="N319" s="592">
        <f t="shared" si="147"/>
        <v>503980</v>
      </c>
      <c r="O319" s="593">
        <f t="shared" si="147"/>
        <v>436722</v>
      </c>
      <c r="P319" s="594">
        <f t="shared" si="147"/>
        <v>67258</v>
      </c>
      <c r="Q319" s="592">
        <f t="shared" si="147"/>
        <v>0</v>
      </c>
      <c r="R319" s="929"/>
    </row>
    <row r="321" spans="1:17">
      <c r="A321" s="343"/>
      <c r="B321" s="941"/>
      <c r="C321" s="1035"/>
      <c r="D321" s="343"/>
      <c r="G321" s="343"/>
      <c r="H321" s="343"/>
      <c r="I321" s="343">
        <f>+'1.mell._Össz_Mérleg2020'!C11</f>
        <v>992226</v>
      </c>
      <c r="J321" s="343">
        <f>+'1.mell._Össz_Mérleg2020'!C25</f>
        <v>414105</v>
      </c>
      <c r="K321" s="343">
        <f>+'1.mell._Össz_Mérleg2020'!C32</f>
        <v>186868</v>
      </c>
      <c r="L321" s="343">
        <f>+'1.mell._Össz_Mérleg2020'!C44</f>
        <v>0</v>
      </c>
      <c r="N321" s="343">
        <f>+'1.mell._Össz_Mérleg2020'!C51</f>
        <v>32276</v>
      </c>
      <c r="O321" s="343">
        <f>+'1.mell._Össz_Mérleg2020'!C58</f>
        <v>40350</v>
      </c>
      <c r="P321" s="343">
        <f>+'1.mell._Össz_Mérleg2020'!C64</f>
        <v>1100</v>
      </c>
    </row>
    <row r="322" spans="1:17">
      <c r="A322" s="343"/>
      <c r="B322" s="941"/>
      <c r="C322" s="1035"/>
      <c r="D322" s="343"/>
      <c r="G322" s="343"/>
      <c r="H322" s="343"/>
      <c r="I322" s="343">
        <f>+I158-I321</f>
        <v>0</v>
      </c>
      <c r="J322" s="343">
        <f>+J158-J321</f>
        <v>0</v>
      </c>
      <c r="K322" s="343">
        <f>+K158-K321</f>
        <v>0</v>
      </c>
      <c r="L322" s="343">
        <f>+L158-L321</f>
        <v>0</v>
      </c>
      <c r="M322" s="343"/>
      <c r="N322" s="343">
        <f>+N158-N321</f>
        <v>0</v>
      </c>
      <c r="O322" s="343">
        <f>+O158-O321</f>
        <v>0</v>
      </c>
      <c r="P322" s="343">
        <f>+P158-P321</f>
        <v>0</v>
      </c>
    </row>
    <row r="323" spans="1:17">
      <c r="A323" s="343"/>
      <c r="B323" s="941"/>
      <c r="C323" s="1035"/>
      <c r="D323" s="343"/>
      <c r="G323" s="343"/>
      <c r="H323" s="343"/>
    </row>
    <row r="324" spans="1:17">
      <c r="A324" s="343"/>
      <c r="B324" s="941"/>
      <c r="C324" s="1035"/>
      <c r="D324" s="343"/>
      <c r="G324" s="343"/>
      <c r="H324" s="343"/>
      <c r="I324" s="343">
        <f>+'1.mell._Össz_Mérleg2020'!C110</f>
        <v>715534</v>
      </c>
      <c r="J324" s="343">
        <f>+'1.mell._Össz_Mérleg2020'!C114</f>
        <v>130817</v>
      </c>
      <c r="K324" s="343">
        <f>+'1.mell._Össz_Mérleg2020'!C116</f>
        <v>401997</v>
      </c>
      <c r="L324" s="343">
        <f>+'1.mell._Össz_Mérleg2020'!C123</f>
        <v>52779</v>
      </c>
      <c r="M324" s="343">
        <f>+'1.mell._Össz_Mérleg2020'!C132</f>
        <v>2717621</v>
      </c>
      <c r="O324" s="343">
        <f>+'1.mell._Össz_Mérleg2020'!C150</f>
        <v>436722</v>
      </c>
      <c r="P324" s="343">
        <f>+'1.mell._Össz_Mérleg2020'!C159</f>
        <v>67258</v>
      </c>
      <c r="Q324" s="343">
        <f>+'1.mell._Össz_Mérleg2020'!C165</f>
        <v>0</v>
      </c>
    </row>
    <row r="325" spans="1:17">
      <c r="A325" s="343"/>
      <c r="B325" s="941"/>
      <c r="C325" s="1035"/>
      <c r="D325" s="343"/>
      <c r="G325" s="343"/>
      <c r="H325" s="343"/>
      <c r="I325" s="343">
        <f>+I319-I324</f>
        <v>0</v>
      </c>
      <c r="J325" s="343">
        <f>+J319-J324</f>
        <v>0</v>
      </c>
      <c r="K325" s="343">
        <f>+K319-K324</f>
        <v>0</v>
      </c>
      <c r="L325" s="343">
        <f>+L319-L324</f>
        <v>0</v>
      </c>
      <c r="M325" s="343">
        <f>+M319-M324</f>
        <v>0</v>
      </c>
      <c r="O325" s="343">
        <f>+O319-O324</f>
        <v>0</v>
      </c>
      <c r="P325" s="343">
        <f>+P319-P324</f>
        <v>0</v>
      </c>
      <c r="Q325" s="343">
        <f>+Q319-Q324</f>
        <v>0</v>
      </c>
    </row>
  </sheetData>
  <mergeCells count="74">
    <mergeCell ref="A5:A6"/>
    <mergeCell ref="F5:F6"/>
    <mergeCell ref="E5:E6"/>
    <mergeCell ref="C251:F251"/>
    <mergeCell ref="C97:F97"/>
    <mergeCell ref="C144:F144"/>
    <mergeCell ref="C101:F101"/>
    <mergeCell ref="C90:F90"/>
    <mergeCell ref="C109:F109"/>
    <mergeCell ref="C130:F130"/>
    <mergeCell ref="C132:F132"/>
    <mergeCell ref="C134:F134"/>
    <mergeCell ref="C143:F143"/>
    <mergeCell ref="C141:F141"/>
    <mergeCell ref="C135:F135"/>
    <mergeCell ref="C138:F138"/>
    <mergeCell ref="O166:Q166"/>
    <mergeCell ref="C299:F299"/>
    <mergeCell ref="C302:F302"/>
    <mergeCell ref="C304:F304"/>
    <mergeCell ref="C305:F305"/>
    <mergeCell ref="C293:F293"/>
    <mergeCell ref="C122:F122"/>
    <mergeCell ref="C123:F123"/>
    <mergeCell ref="G5:G6"/>
    <mergeCell ref="I5:L5"/>
    <mergeCell ref="N5:P5"/>
    <mergeCell ref="C5:C6"/>
    <mergeCell ref="D5:D6"/>
    <mergeCell ref="H5:H6"/>
    <mergeCell ref="M5:M6"/>
    <mergeCell ref="C156:F156"/>
    <mergeCell ref="C312:F312"/>
    <mergeCell ref="A3:Q3"/>
    <mergeCell ref="H166:H167"/>
    <mergeCell ref="N166:N167"/>
    <mergeCell ref="C166:C167"/>
    <mergeCell ref="D166:D167"/>
    <mergeCell ref="I166:M166"/>
    <mergeCell ref="C80:F80"/>
    <mergeCell ref="C87:F87"/>
    <mergeCell ref="C89:F89"/>
    <mergeCell ref="F166:F167"/>
    <mergeCell ref="G166:G167"/>
    <mergeCell ref="C110:F110"/>
    <mergeCell ref="C118:F118"/>
    <mergeCell ref="C120:F120"/>
    <mergeCell ref="C319:F319"/>
    <mergeCell ref="C271:F271"/>
    <mergeCell ref="C279:F279"/>
    <mergeCell ref="C281:F281"/>
    <mergeCell ref="C283:F283"/>
    <mergeCell ref="C284:F284"/>
    <mergeCell ref="C316:F316"/>
    <mergeCell ref="C317:F317"/>
    <mergeCell ref="C314:F314"/>
    <mergeCell ref="C295:F295"/>
    <mergeCell ref="C296:F296"/>
    <mergeCell ref="C158:F158"/>
    <mergeCell ref="B5:B6"/>
    <mergeCell ref="B166:B167"/>
    <mergeCell ref="C291:F291"/>
    <mergeCell ref="C258:F258"/>
    <mergeCell ref="C262:F262"/>
    <mergeCell ref="C270:F270"/>
    <mergeCell ref="A164:Q164"/>
    <mergeCell ref="A166:A167"/>
    <mergeCell ref="E166:E167"/>
    <mergeCell ref="C241:F241"/>
    <mergeCell ref="C248:F248"/>
    <mergeCell ref="C250:F250"/>
    <mergeCell ref="C151:F151"/>
    <mergeCell ref="C153:F153"/>
    <mergeCell ref="C155:F155"/>
  </mergeCells>
  <printOptions horizontalCentered="1"/>
  <pageMargins left="0.39370078740157483" right="0.39370078740157483" top="0.39370078740157483" bottom="0.39370078740157483" header="0.19685039370078741" footer="0.19685039370078741"/>
  <pageSetup paperSize="8" scale="35" fitToHeight="2" orientation="landscape" r:id="rId1"/>
  <headerFooter alignWithMargins="0">
    <oddHeader xml:space="preserve">&amp;C&amp;"Times New Roman CE,Félkövér"&amp;14 13. melléklet - &amp;P. oldal
&amp;R&amp;"Times New Roman CE,Dőlt"&amp;12
</oddHeader>
  </headerFooter>
  <rowBreaks count="1" manualBreakCount="1">
    <brk id="162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>
  <sheetPr codeName="Munka27">
    <tabColor rgb="FF00B0F0"/>
  </sheetPr>
  <dimension ref="A1:AP75"/>
  <sheetViews>
    <sheetView zoomScaleNormal="100" workbookViewId="0"/>
  </sheetViews>
  <sheetFormatPr defaultColWidth="13" defaultRowHeight="12"/>
  <cols>
    <col min="1" max="1" width="5" style="622" customWidth="1"/>
    <col min="2" max="2" width="74.140625" style="296" bestFit="1" customWidth="1"/>
    <col min="3" max="9" width="11.5703125" style="296" customWidth="1"/>
    <col min="10" max="10" width="11.5703125" style="621" customWidth="1"/>
    <col min="11" max="18" width="11.5703125" style="296" customWidth="1"/>
    <col min="19" max="19" width="11.5703125" style="621" customWidth="1"/>
    <col min="20" max="22" width="11.5703125" style="296" customWidth="1"/>
    <col min="23" max="23" width="11.5703125" style="621" customWidth="1"/>
    <col min="24" max="24" width="11.42578125" style="296" customWidth="1"/>
    <col min="25" max="26" width="9.28515625" style="296" hidden="1" customWidth="1"/>
    <col min="27" max="27" width="3.42578125" style="296" hidden="1" customWidth="1"/>
    <col min="28" max="29" width="0" style="296" hidden="1" customWidth="1"/>
    <col min="30" max="30" width="10.28515625" style="296" hidden="1" customWidth="1"/>
    <col min="31" max="31" width="9.28515625" style="296" hidden="1" customWidth="1"/>
    <col min="32" max="36" width="0" style="296" hidden="1" customWidth="1"/>
    <col min="37" max="16384" width="13" style="296"/>
  </cols>
  <sheetData>
    <row r="1" spans="1:42" s="738" customFormat="1" ht="15.75">
      <c r="A1" s="737"/>
      <c r="J1" s="739"/>
      <c r="S1" s="739"/>
      <c r="W1" s="218" t="s">
        <v>591</v>
      </c>
    </row>
    <row r="2" spans="1:42" s="738" customFormat="1" ht="15.75">
      <c r="A2" s="737"/>
      <c r="J2" s="739"/>
      <c r="S2" s="739"/>
      <c r="W2" s="218"/>
    </row>
    <row r="3" spans="1:42" s="739" customFormat="1" ht="15.75">
      <c r="A3" s="740"/>
      <c r="B3" s="1286" t="s">
        <v>827</v>
      </c>
      <c r="C3" s="1286"/>
      <c r="D3" s="1286"/>
      <c r="E3" s="1286"/>
      <c r="F3" s="1286"/>
      <c r="G3" s="1286"/>
      <c r="H3" s="1286"/>
      <c r="I3" s="1286"/>
      <c r="J3" s="1286"/>
      <c r="K3" s="1286"/>
      <c r="L3" s="1286"/>
      <c r="M3" s="1286"/>
      <c r="N3" s="1286"/>
      <c r="O3" s="1286"/>
      <c r="P3" s="1286"/>
      <c r="Q3" s="1286"/>
      <c r="R3" s="1286"/>
      <c r="S3" s="1286"/>
      <c r="T3" s="1286"/>
      <c r="U3" s="1286"/>
      <c r="V3" s="1286"/>
      <c r="W3" s="1286"/>
      <c r="AB3" s="738"/>
      <c r="AC3" s="738"/>
      <c r="AD3" s="738"/>
      <c r="AE3" s="738"/>
      <c r="AF3" s="738"/>
      <c r="AG3" s="738"/>
      <c r="AH3" s="738"/>
      <c r="AI3" s="738"/>
      <c r="AJ3" s="738"/>
      <c r="AK3" s="738"/>
      <c r="AL3" s="738"/>
      <c r="AM3" s="738"/>
      <c r="AN3" s="738"/>
      <c r="AO3" s="738"/>
      <c r="AP3" s="738"/>
    </row>
    <row r="4" spans="1:42" ht="12.75" thickBot="1">
      <c r="W4" s="273" t="s">
        <v>457</v>
      </c>
    </row>
    <row r="5" spans="1:42" s="624" customFormat="1" ht="72.75" thickBot="1">
      <c r="A5" s="995" t="s">
        <v>17</v>
      </c>
      <c r="B5" s="996" t="s">
        <v>1513</v>
      </c>
      <c r="C5" s="997" t="s">
        <v>762</v>
      </c>
      <c r="D5" s="403" t="s">
        <v>524</v>
      </c>
      <c r="E5" s="403" t="s">
        <v>763</v>
      </c>
      <c r="F5" s="403" t="s">
        <v>1147</v>
      </c>
      <c r="G5" s="403" t="s">
        <v>531</v>
      </c>
      <c r="H5" s="403" t="s">
        <v>532</v>
      </c>
      <c r="I5" s="402" t="s">
        <v>1148</v>
      </c>
      <c r="J5" s="344" t="s">
        <v>523</v>
      </c>
      <c r="K5" s="997" t="s">
        <v>46</v>
      </c>
      <c r="L5" s="403" t="s">
        <v>446</v>
      </c>
      <c r="M5" s="403" t="s">
        <v>447</v>
      </c>
      <c r="N5" s="403" t="s">
        <v>765</v>
      </c>
      <c r="O5" s="403" t="s">
        <v>1149</v>
      </c>
      <c r="P5" s="403" t="s">
        <v>450</v>
      </c>
      <c r="Q5" s="403" t="s">
        <v>451</v>
      </c>
      <c r="R5" s="339" t="s">
        <v>1150</v>
      </c>
      <c r="S5" s="344" t="s">
        <v>526</v>
      </c>
      <c r="T5" s="623" t="s">
        <v>755</v>
      </c>
      <c r="U5" s="1478" t="s">
        <v>1573</v>
      </c>
      <c r="V5" s="1435" t="s">
        <v>1572</v>
      </c>
      <c r="W5" s="623" t="s">
        <v>756</v>
      </c>
      <c r="AB5" s="1139" t="s">
        <v>1157</v>
      </c>
      <c r="AC5" s="624" t="s">
        <v>1068</v>
      </c>
      <c r="AD5" s="624" t="s">
        <v>1043</v>
      </c>
      <c r="AE5" s="624" t="s">
        <v>1222</v>
      </c>
      <c r="AF5" s="624" t="s">
        <v>1155</v>
      </c>
      <c r="AG5" s="624" t="s">
        <v>1154</v>
      </c>
      <c r="AH5" s="624" t="s">
        <v>1153</v>
      </c>
      <c r="AI5" s="1138" t="s">
        <v>1158</v>
      </c>
      <c r="AJ5" s="624" t="s">
        <v>1223</v>
      </c>
    </row>
    <row r="6" spans="1:42">
      <c r="A6" s="938">
        <v>1</v>
      </c>
      <c r="B6" s="818" t="s">
        <v>414</v>
      </c>
      <c r="C6" s="626">
        <f>+SUMIF('13.mell_ÖNKfeladatok2020'!$B$5:$B$158,'14.mell_Önk kiegészítés2020'!$A6,'13.mell_ÖNKfeladatok2020'!I$5:I$158)</f>
        <v>0</v>
      </c>
      <c r="D6" s="626">
        <f>+SUMIF('13.mell_ÖNKfeladatok2020'!$B$5:$B$158,'14.mell_Önk kiegészítés2020'!$A6,'13.mell_ÖNKfeladatok2020'!J$5:J$158)</f>
        <v>0</v>
      </c>
      <c r="E6" s="626">
        <f>+SUMIF('13.mell_ÖNKfeladatok2020'!$B$5:$B$158,'14.mell_Önk kiegészítés2020'!$A6,'13.mell_ÖNKfeladatok2020'!K$5:K$158)</f>
        <v>0</v>
      </c>
      <c r="F6" s="626">
        <f>+SUMIF('13.mell_ÖNKfeladatok2020'!$B$5:$B$158,'14.mell_Önk kiegészítés2020'!$A6,'13.mell_ÖNKfeladatok2020'!L$5:L$158)</f>
        <v>0</v>
      </c>
      <c r="G6" s="626">
        <f>+SUMIF('13.mell_ÖNKfeladatok2020'!$B$5:$B$158,'14.mell_Önk kiegészítés2020'!$A6,'13.mell_ÖNKfeladatok2020'!N$5:N$158)</f>
        <v>0</v>
      </c>
      <c r="H6" s="626">
        <f>+SUMIF('13.mell_ÖNKfeladatok2020'!$B$5:$B$158,'14.mell_Önk kiegészítés2020'!$A6,'13.mell_ÖNKfeladatok2020'!O$5:O$158)</f>
        <v>0</v>
      </c>
      <c r="I6" s="626">
        <f>+SUMIF('13.mell_ÖNKfeladatok2020'!$B$5:$B$158,'14.mell_Önk kiegészítés2020'!$A6,'13.mell_ÖNKfeladatok2020'!P$5:P$158)</f>
        <v>0</v>
      </c>
      <c r="J6" s="819">
        <f>SUM(C6:I6)</f>
        <v>0</v>
      </c>
      <c r="K6" s="626">
        <f>+SUMIF('13.mell_ÖNKfeladatok2020'!$B$166:$B$319,'14.mell_Önk kiegészítés2020'!$A6,'13.mell_ÖNKfeladatok2020'!I$166:I$319)</f>
        <v>43051.999999999993</v>
      </c>
      <c r="L6" s="626">
        <f>+SUMIF('13.mell_ÖNKfeladatok2020'!$B$166:$B$319,'14.mell_Önk kiegészítés2020'!$A6,'13.mell_ÖNKfeladatok2020'!J$166:J$319)</f>
        <v>6719</v>
      </c>
      <c r="M6" s="626">
        <f>+SUMIF('13.mell_ÖNKfeladatok2020'!$B$166:$B$319,'14.mell_Önk kiegészítés2020'!$A6,'13.mell_ÖNKfeladatok2020'!K$166:K$319)</f>
        <v>658</v>
      </c>
      <c r="N6" s="626">
        <f>+SUMIF('13.mell_ÖNKfeladatok2020'!$B$166:$B$319,'14.mell_Önk kiegészítés2020'!$A6,'13.mell_ÖNKfeladatok2020'!L$166:L$319)</f>
        <v>0</v>
      </c>
      <c r="O6" s="626">
        <f>+SUMIF('13.mell_ÖNKfeladatok2020'!$B$166:$B$319,'14.mell_Önk kiegészítés2020'!$A6,'13.mell_ÖNKfeladatok2020'!M$166:M$319)</f>
        <v>0</v>
      </c>
      <c r="P6" s="626">
        <f>+SUMIF('13.mell_ÖNKfeladatok2020'!$B$166:$B$319,'14.mell_Önk kiegészítés2020'!$A6,'13.mell_ÖNKfeladatok2020'!O$166:O$319)</f>
        <v>0</v>
      </c>
      <c r="Q6" s="626">
        <f>+SUMIF('13.mell_ÖNKfeladatok2020'!$B$166:$B$319,'14.mell_Önk kiegészítés2020'!$A6,'13.mell_ÖNKfeladatok2020'!P$166:P$319)</f>
        <v>0</v>
      </c>
      <c r="R6" s="626">
        <f>+SUMIF('13.mell_ÖNKfeladatok2020'!$B$166:$B$319,'14.mell_Önk kiegészítés2020'!$A6,'13.mell_ÖNKfeladatok2020'!Q$166:Q$319)</f>
        <v>0</v>
      </c>
      <c r="S6" s="819">
        <f>SUM(K6:R6)</f>
        <v>50428.999999999993</v>
      </c>
      <c r="T6" s="820">
        <f>S6-J6</f>
        <v>50428.999999999993</v>
      </c>
      <c r="U6" s="626">
        <f>+ROUND(SUMIF('10.mell_támogatások2020'!$B$6:$B$137,'14.mell_Önk kiegészítés2020'!$A6,'10.mell_támogatások2020'!D$6:D$137)/1000,0)</f>
        <v>1794</v>
      </c>
      <c r="V6" s="626"/>
      <c r="W6" s="820">
        <f>+T6-U6-V6</f>
        <v>48634.999999999993</v>
      </c>
    </row>
    <row r="7" spans="1:42">
      <c r="A7" s="939">
        <f>+A6+1</f>
        <v>2</v>
      </c>
      <c r="B7" s="625" t="s">
        <v>649</v>
      </c>
      <c r="C7" s="626">
        <f>+SUMIF('13.mell_ÖNKfeladatok2020'!$B$5:$B$158,'14.mell_Önk kiegészítés2020'!$A7,'13.mell_ÖNKfeladatok2020'!I$5:I$158)</f>
        <v>0</v>
      </c>
      <c r="D7" s="626">
        <f>+SUMIF('13.mell_ÖNKfeladatok2020'!$B$5:$B$158,'14.mell_Önk kiegészítés2020'!$A7,'13.mell_ÖNKfeladatok2020'!J$5:J$158)</f>
        <v>0</v>
      </c>
      <c r="E7" s="626">
        <f>+SUMIF('13.mell_ÖNKfeladatok2020'!$B$5:$B$158,'14.mell_Önk kiegészítés2020'!$A7,'13.mell_ÖNKfeladatok2020'!K$5:K$158)</f>
        <v>1500</v>
      </c>
      <c r="F7" s="626">
        <f>+SUMIF('13.mell_ÖNKfeladatok2020'!$B$5:$B$158,'14.mell_Önk kiegészítés2020'!$A7,'13.mell_ÖNKfeladatok2020'!L$5:L$158)</f>
        <v>0</v>
      </c>
      <c r="G7" s="626">
        <f>+SUMIF('13.mell_ÖNKfeladatok2020'!$B$5:$B$158,'14.mell_Önk kiegészítés2020'!$A7,'13.mell_ÖNKfeladatok2020'!N$5:N$158)</f>
        <v>0</v>
      </c>
      <c r="H7" s="626">
        <f>+SUMIF('13.mell_ÖNKfeladatok2020'!$B$5:$B$158,'14.mell_Önk kiegészítés2020'!$A7,'13.mell_ÖNKfeladatok2020'!O$5:O$158)</f>
        <v>0</v>
      </c>
      <c r="I7" s="626">
        <f>+SUMIF('13.mell_ÖNKfeladatok2020'!$B$5:$B$158,'14.mell_Önk kiegészítés2020'!$A7,'13.mell_ÖNKfeladatok2020'!P$5:P$158)</f>
        <v>0</v>
      </c>
      <c r="J7" s="667">
        <f>SUM(C7:I7)</f>
        <v>1500</v>
      </c>
      <c r="K7" s="626">
        <f>+SUMIF('13.mell_ÖNKfeladatok2020'!$B$166:$B$319,'14.mell_Önk kiegészítés2020'!$A7,'13.mell_ÖNKfeladatok2020'!I$166:I$319)</f>
        <v>0</v>
      </c>
      <c r="L7" s="626">
        <f>+SUMIF('13.mell_ÖNKfeladatok2020'!$B$166:$B$319,'14.mell_Önk kiegészítés2020'!$A7,'13.mell_ÖNKfeladatok2020'!J$166:J$319)</f>
        <v>0</v>
      </c>
      <c r="M7" s="626">
        <f>+SUMIF('13.mell_ÖNKfeladatok2020'!$B$166:$B$319,'14.mell_Önk kiegészítés2020'!$A7,'13.mell_ÖNKfeladatok2020'!K$166:K$319)</f>
        <v>2319</v>
      </c>
      <c r="N7" s="626">
        <f>+SUMIF('13.mell_ÖNKfeladatok2020'!$B$166:$B$319,'14.mell_Önk kiegészítés2020'!$A7,'13.mell_ÖNKfeladatok2020'!L$166:L$319)</f>
        <v>0</v>
      </c>
      <c r="O7" s="626">
        <f>+SUMIF('13.mell_ÖNKfeladatok2020'!$B$166:$B$319,'14.mell_Önk kiegészítés2020'!$A7,'13.mell_ÖNKfeladatok2020'!M$166:M$319)</f>
        <v>0</v>
      </c>
      <c r="P7" s="626">
        <f>+SUMIF('13.mell_ÖNKfeladatok2020'!$B$166:$B$319,'14.mell_Önk kiegészítés2020'!$A7,'13.mell_ÖNKfeladatok2020'!O$166:O$319)</f>
        <v>0</v>
      </c>
      <c r="Q7" s="626">
        <f>+SUMIF('13.mell_ÖNKfeladatok2020'!$B$166:$B$319,'14.mell_Önk kiegészítés2020'!$A7,'13.mell_ÖNKfeladatok2020'!P$166:P$319)</f>
        <v>0</v>
      </c>
      <c r="R7" s="626">
        <f>+SUMIF('13.mell_ÖNKfeladatok2020'!$B$166:$B$319,'14.mell_Önk kiegészítés2020'!$A7,'13.mell_ÖNKfeladatok2020'!Q$166:Q$319)</f>
        <v>0</v>
      </c>
      <c r="S7" s="667">
        <f t="shared" ref="S7:S13" si="0">SUM(K7:R7)</f>
        <v>2319</v>
      </c>
      <c r="T7" s="627">
        <f>S7-J7</f>
        <v>819</v>
      </c>
      <c r="U7" s="1479">
        <f>+ROUND(SUMIF('10.mell_támogatások2020'!$B$6:$B$137,'14.mell_Önk kiegészítés2020'!$A7,'10.mell_támogatások2020'!D$6:D$137)/1000,0)</f>
        <v>3460</v>
      </c>
      <c r="V7" s="1436"/>
      <c r="W7" s="627">
        <f t="shared" ref="W7:W13" si="1">+T7-U7-V7</f>
        <v>-2641</v>
      </c>
    </row>
    <row r="8" spans="1:42">
      <c r="A8" s="939">
        <f>+A7+1</f>
        <v>3</v>
      </c>
      <c r="B8" s="628" t="s">
        <v>644</v>
      </c>
      <c r="C8" s="629">
        <f>+SUMIF('13.mell_ÖNKfeladatok2020'!$B$5:$B$158,'14.mell_Önk kiegészítés2020'!$A8,'13.mell_ÖNKfeladatok2020'!I$5:I$158)</f>
        <v>0</v>
      </c>
      <c r="D8" s="629">
        <f>+SUMIF('13.mell_ÖNKfeladatok2020'!$B$5:$B$158,'14.mell_Önk kiegészítés2020'!$A8,'13.mell_ÖNKfeladatok2020'!J$5:J$158)</f>
        <v>0</v>
      </c>
      <c r="E8" s="629">
        <f>+SUMIF('13.mell_ÖNKfeladatok2020'!$B$5:$B$158,'14.mell_Önk kiegészítés2020'!$A8,'13.mell_ÖNKfeladatok2020'!K$5:K$158)</f>
        <v>0</v>
      </c>
      <c r="F8" s="629">
        <f>+SUMIF('13.mell_ÖNKfeladatok2020'!$B$5:$B$158,'14.mell_Önk kiegészítés2020'!$A8,'13.mell_ÖNKfeladatok2020'!L$5:L$158)</f>
        <v>0</v>
      </c>
      <c r="G8" s="626">
        <f>+SUMIF('13.mell_ÖNKfeladatok2020'!$B$5:$B$158,'14.mell_Önk kiegészítés2020'!$A8,'13.mell_ÖNKfeladatok2020'!N$5:N$158)</f>
        <v>0</v>
      </c>
      <c r="H8" s="629">
        <f>+SUMIF('13.mell_ÖNKfeladatok2020'!$B$5:$B$158,'14.mell_Önk kiegészítés2020'!$A8,'13.mell_ÖNKfeladatok2020'!O$5:O$158)</f>
        <v>0</v>
      </c>
      <c r="I8" s="629">
        <f>+SUMIF('13.mell_ÖNKfeladatok2020'!$B$5:$B$158,'14.mell_Önk kiegészítés2020'!$A8,'13.mell_ÖNKfeladatok2020'!P$5:P$158)</f>
        <v>0</v>
      </c>
      <c r="J8" s="668">
        <f t="shared" ref="J8:J18" si="2">SUM(C8:I8)</f>
        <v>0</v>
      </c>
      <c r="K8" s="629">
        <f>+SUMIF('13.mell_ÖNKfeladatok2020'!$B$166:$B$319,'14.mell_Önk kiegészítés2020'!$A8,'13.mell_ÖNKfeladatok2020'!I$166:I$319)</f>
        <v>0</v>
      </c>
      <c r="L8" s="629">
        <f>+SUMIF('13.mell_ÖNKfeladatok2020'!$B$166:$B$319,'14.mell_Önk kiegészítés2020'!$A8,'13.mell_ÖNKfeladatok2020'!J$166:J$319)</f>
        <v>0</v>
      </c>
      <c r="M8" s="629">
        <f>+SUMIF('13.mell_ÖNKfeladatok2020'!$B$166:$B$319,'14.mell_Önk kiegészítés2020'!$A8,'13.mell_ÖNKfeladatok2020'!K$166:K$319)</f>
        <v>25000</v>
      </c>
      <c r="N8" s="629">
        <f>+SUMIF('13.mell_ÖNKfeladatok2020'!$B$166:$B$319,'14.mell_Önk kiegészítés2020'!$A8,'13.mell_ÖNKfeladatok2020'!L$166:L$319)</f>
        <v>0</v>
      </c>
      <c r="O8" s="629">
        <f>+SUMIF('13.mell_ÖNKfeladatok2020'!$B$166:$B$319,'14.mell_Önk kiegészítés2020'!$A8,'13.mell_ÖNKfeladatok2020'!M$166:M$319)</f>
        <v>0</v>
      </c>
      <c r="P8" s="629">
        <f>+SUMIF('13.mell_ÖNKfeladatok2020'!$B$166:$B$319,'14.mell_Önk kiegészítés2020'!$A8,'13.mell_ÖNKfeladatok2020'!O$166:O$319)</f>
        <v>1500</v>
      </c>
      <c r="Q8" s="629">
        <f>+SUMIF('13.mell_ÖNKfeladatok2020'!$B$166:$B$319,'14.mell_Önk kiegészítés2020'!$A8,'13.mell_ÖNKfeladatok2020'!P$166:P$319)</f>
        <v>0</v>
      </c>
      <c r="R8" s="629">
        <f>+SUMIF('13.mell_ÖNKfeladatok2020'!$B$166:$B$319,'14.mell_Önk kiegészítés2020'!$A8,'13.mell_ÖNKfeladatok2020'!Q$166:Q$319)</f>
        <v>0</v>
      </c>
      <c r="S8" s="668">
        <f t="shared" si="0"/>
        <v>26500</v>
      </c>
      <c r="T8" s="630">
        <f t="shared" ref="T8:T18" si="3">S8-J8</f>
        <v>26500</v>
      </c>
      <c r="U8" s="1479">
        <f>+ROUND(SUMIF('10.mell_támogatások2020'!$B$6:$B$137,'14.mell_Önk kiegészítés2020'!$A8,'10.mell_támogatások2020'!D$6:D$137)/1000,0)</f>
        <v>26600</v>
      </c>
      <c r="V8" s="1436"/>
      <c r="W8" s="630">
        <f t="shared" si="1"/>
        <v>-100</v>
      </c>
    </row>
    <row r="9" spans="1:42">
      <c r="A9" s="939">
        <f>+A8+1</f>
        <v>4</v>
      </c>
      <c r="B9" s="628" t="s">
        <v>646</v>
      </c>
      <c r="C9" s="629">
        <f>+SUMIF('13.mell_ÖNKfeladatok2020'!$B$5:$B$158,'14.mell_Önk kiegészítés2020'!$A9,'13.mell_ÖNKfeladatok2020'!I$5:I$158)</f>
        <v>0</v>
      </c>
      <c r="D9" s="629">
        <f>+SUMIF('13.mell_ÖNKfeladatok2020'!$B$5:$B$158,'14.mell_Önk kiegészítés2020'!$A9,'13.mell_ÖNKfeladatok2020'!J$5:J$158)</f>
        <v>0</v>
      </c>
      <c r="E9" s="629">
        <f>+SUMIF('13.mell_ÖNKfeladatok2020'!$B$5:$B$158,'14.mell_Önk kiegészítés2020'!$A9,'13.mell_ÖNKfeladatok2020'!K$5:K$158)</f>
        <v>0</v>
      </c>
      <c r="F9" s="629">
        <f>+SUMIF('13.mell_ÖNKfeladatok2020'!$B$5:$B$158,'14.mell_Önk kiegészítés2020'!$A9,'13.mell_ÖNKfeladatok2020'!L$5:L$158)</f>
        <v>0</v>
      </c>
      <c r="G9" s="626">
        <f>+SUMIF('13.mell_ÖNKfeladatok2020'!$B$5:$B$158,'14.mell_Önk kiegészítés2020'!$A9,'13.mell_ÖNKfeladatok2020'!N$5:N$158)</f>
        <v>0</v>
      </c>
      <c r="H9" s="629">
        <f>+SUMIF('13.mell_ÖNKfeladatok2020'!$B$5:$B$158,'14.mell_Önk kiegészítés2020'!$A9,'13.mell_ÖNKfeladatok2020'!O$5:O$158)</f>
        <v>0</v>
      </c>
      <c r="I9" s="629">
        <f>+SUMIF('13.mell_ÖNKfeladatok2020'!$B$5:$B$158,'14.mell_Önk kiegészítés2020'!$A9,'13.mell_ÖNKfeladatok2020'!P$5:P$158)</f>
        <v>0</v>
      </c>
      <c r="J9" s="668">
        <f t="shared" si="2"/>
        <v>0</v>
      </c>
      <c r="K9" s="629">
        <f>+SUMIF('13.mell_ÖNKfeladatok2020'!$B$166:$B$319,'14.mell_Önk kiegészítés2020'!$A9,'13.mell_ÖNKfeladatok2020'!I$166:I$319)</f>
        <v>0</v>
      </c>
      <c r="L9" s="629">
        <f>+SUMIF('13.mell_ÖNKfeladatok2020'!$B$166:$B$319,'14.mell_Önk kiegészítés2020'!$A9,'13.mell_ÖNKfeladatok2020'!J$166:J$319)</f>
        <v>0</v>
      </c>
      <c r="M9" s="629">
        <f>+SUMIF('13.mell_ÖNKfeladatok2020'!$B$166:$B$319,'14.mell_Önk kiegészítés2020'!$A9,'13.mell_ÖNKfeladatok2020'!K$166:K$319)</f>
        <v>13381</v>
      </c>
      <c r="N9" s="629">
        <f>+SUMIF('13.mell_ÖNKfeladatok2020'!$B$166:$B$319,'14.mell_Önk kiegészítés2020'!$A9,'13.mell_ÖNKfeladatok2020'!L$166:L$319)</f>
        <v>0</v>
      </c>
      <c r="O9" s="629">
        <f>+SUMIF('13.mell_ÖNKfeladatok2020'!$B$166:$B$319,'14.mell_Önk kiegészítés2020'!$A9,'13.mell_ÖNKfeladatok2020'!M$166:M$319)</f>
        <v>0</v>
      </c>
      <c r="P9" s="629">
        <f>+SUMIF('13.mell_ÖNKfeladatok2020'!$B$166:$B$319,'14.mell_Önk kiegészítés2020'!$A9,'13.mell_ÖNKfeladatok2020'!O$166:O$319)</f>
        <v>0</v>
      </c>
      <c r="Q9" s="629">
        <f>+SUMIF('13.mell_ÖNKfeladatok2020'!$B$166:$B$319,'14.mell_Önk kiegészítés2020'!$A9,'13.mell_ÖNKfeladatok2020'!P$166:P$319)</f>
        <v>0</v>
      </c>
      <c r="R9" s="629">
        <f>+SUMIF('13.mell_ÖNKfeladatok2020'!$B$166:$B$319,'14.mell_Önk kiegészítés2020'!$A9,'13.mell_ÖNKfeladatok2020'!Q$166:Q$319)</f>
        <v>0</v>
      </c>
      <c r="S9" s="668">
        <f t="shared" si="0"/>
        <v>13381</v>
      </c>
      <c r="T9" s="630">
        <f t="shared" si="3"/>
        <v>13381</v>
      </c>
      <c r="U9" s="1479">
        <f>+ROUND(SUMIF('10.mell_támogatások2020'!$B$6:$B$137,'14.mell_Önk kiegészítés2020'!$A9,'10.mell_támogatások2020'!D$6:D$137)/1000,0)</f>
        <v>15266</v>
      </c>
      <c r="V9" s="1436">
        <v>13930</v>
      </c>
      <c r="W9" s="630">
        <f t="shared" si="1"/>
        <v>-15815</v>
      </c>
      <c r="AI9" s="296">
        <v>13930</v>
      </c>
    </row>
    <row r="10" spans="1:42">
      <c r="A10" s="939">
        <f>+A9+1</f>
        <v>5</v>
      </c>
      <c r="B10" s="628" t="s">
        <v>643</v>
      </c>
      <c r="C10" s="629">
        <f>+SUMIF('13.mell_ÖNKfeladatok2020'!$B$5:$B$158,'14.mell_Önk kiegészítés2020'!$A10,'13.mell_ÖNKfeladatok2020'!I$5:I$158)</f>
        <v>0</v>
      </c>
      <c r="D10" s="629">
        <f>+SUMIF('13.mell_ÖNKfeladatok2020'!$B$5:$B$158,'14.mell_Önk kiegészítés2020'!$A10,'13.mell_ÖNKfeladatok2020'!J$5:J$158)</f>
        <v>0</v>
      </c>
      <c r="E10" s="629">
        <f>+SUMIF('13.mell_ÖNKfeladatok2020'!$B$5:$B$158,'14.mell_Önk kiegészítés2020'!$A10,'13.mell_ÖNKfeladatok2020'!K$5:K$158)</f>
        <v>0</v>
      </c>
      <c r="F10" s="629">
        <f>+SUMIF('13.mell_ÖNKfeladatok2020'!$B$5:$B$158,'14.mell_Önk kiegészítés2020'!$A10,'13.mell_ÖNKfeladatok2020'!L$5:L$158)</f>
        <v>0</v>
      </c>
      <c r="G10" s="626">
        <f>+SUMIF('13.mell_ÖNKfeladatok2020'!$B$5:$B$158,'14.mell_Önk kiegészítés2020'!$A10,'13.mell_ÖNKfeladatok2020'!N$5:N$158)</f>
        <v>0</v>
      </c>
      <c r="H10" s="629">
        <f>+SUMIF('13.mell_ÖNKfeladatok2020'!$B$5:$B$158,'14.mell_Önk kiegészítés2020'!$A10,'13.mell_ÖNKfeladatok2020'!O$5:O$158)</f>
        <v>0</v>
      </c>
      <c r="I10" s="629">
        <f>+SUMIF('13.mell_ÖNKfeladatok2020'!$B$5:$B$158,'14.mell_Önk kiegészítés2020'!$A10,'13.mell_ÖNKfeladatok2020'!P$5:P$158)</f>
        <v>0</v>
      </c>
      <c r="J10" s="668">
        <f>SUM(C10:I10)</f>
        <v>0</v>
      </c>
      <c r="K10" s="629">
        <f>+SUMIF('13.mell_ÖNKfeladatok2020'!$B$166:$B$319,'14.mell_Önk kiegészítés2020'!$A10,'13.mell_ÖNKfeladatok2020'!I$166:I$319)</f>
        <v>0</v>
      </c>
      <c r="L10" s="629">
        <f>+SUMIF('13.mell_ÖNKfeladatok2020'!$B$166:$B$319,'14.mell_Önk kiegészítés2020'!$A10,'13.mell_ÖNKfeladatok2020'!J$166:J$319)</f>
        <v>0</v>
      </c>
      <c r="M10" s="629">
        <f>+SUMIF('13.mell_ÖNKfeladatok2020'!$B$166:$B$319,'14.mell_Önk kiegészítés2020'!$A10,'13.mell_ÖNKfeladatok2020'!K$166:K$319)</f>
        <v>12899</v>
      </c>
      <c r="N10" s="629">
        <f>+SUMIF('13.mell_ÖNKfeladatok2020'!$B$166:$B$319,'14.mell_Önk kiegészítés2020'!$A10,'13.mell_ÖNKfeladatok2020'!L$166:L$319)</f>
        <v>0</v>
      </c>
      <c r="O10" s="629">
        <f>+SUMIF('13.mell_ÖNKfeladatok2020'!$B$166:$B$319,'14.mell_Önk kiegészítés2020'!$A10,'13.mell_ÖNKfeladatok2020'!M$166:M$319)</f>
        <v>0</v>
      </c>
      <c r="P10" s="629">
        <f>+SUMIF('13.mell_ÖNKfeladatok2020'!$B$166:$B$319,'14.mell_Önk kiegészítés2020'!$A10,'13.mell_ÖNKfeladatok2020'!O$166:O$319)</f>
        <v>0</v>
      </c>
      <c r="Q10" s="629">
        <f>+SUMIF('13.mell_ÖNKfeladatok2020'!$B$166:$B$319,'14.mell_Önk kiegészítés2020'!$A10,'13.mell_ÖNKfeladatok2020'!P$166:P$319)</f>
        <v>61258</v>
      </c>
      <c r="R10" s="629">
        <f>+SUMIF('13.mell_ÖNKfeladatok2020'!$B$166:$B$319,'14.mell_Önk kiegészítés2020'!$A10,'13.mell_ÖNKfeladatok2020'!Q$166:Q$319)</f>
        <v>0</v>
      </c>
      <c r="S10" s="668">
        <f>SUM(K10:R10)</f>
        <v>74157</v>
      </c>
      <c r="T10" s="630">
        <f>S10-J10</f>
        <v>74157</v>
      </c>
      <c r="U10" s="1479">
        <f>+ROUND(SUMIF('10.mell_támogatások2020'!$B$6:$B$137,'14.mell_Önk kiegészítés2020'!$A10,'10.mell_támogatások2020'!D$6:D$137)/1000,0)</f>
        <v>14918</v>
      </c>
      <c r="V10" s="1436"/>
      <c r="W10" s="630">
        <f t="shared" si="1"/>
        <v>59239</v>
      </c>
    </row>
    <row r="11" spans="1:42">
      <c r="A11" s="939">
        <f>+A10+1</f>
        <v>6</v>
      </c>
      <c r="B11" s="628" t="s">
        <v>1511</v>
      </c>
      <c r="C11" s="629">
        <f>+SUMIF('13.mell_ÖNKfeladatok2020'!$B$5:$B$158,'14.mell_Önk kiegészítés2020'!$A11,'13.mell_ÖNKfeladatok2020'!I$5:I$158)</f>
        <v>0</v>
      </c>
      <c r="D11" s="629">
        <f>+SUMIF('13.mell_ÖNKfeladatok2020'!$B$5:$B$158,'14.mell_Önk kiegészítés2020'!$A11,'13.mell_ÖNKfeladatok2020'!J$5:J$158)</f>
        <v>0</v>
      </c>
      <c r="E11" s="629">
        <f>+SUMIF('13.mell_ÖNKfeladatok2020'!$B$5:$B$158,'14.mell_Önk kiegészítés2020'!$A11,'13.mell_ÖNKfeladatok2020'!K$5:K$158)</f>
        <v>0</v>
      </c>
      <c r="F11" s="629">
        <f>+SUMIF('13.mell_ÖNKfeladatok2020'!$B$5:$B$158,'14.mell_Önk kiegészítés2020'!$A11,'13.mell_ÖNKfeladatok2020'!L$5:L$158)</f>
        <v>0</v>
      </c>
      <c r="G11" s="626">
        <f>+SUMIF('13.mell_ÖNKfeladatok2020'!$B$5:$B$158,'14.mell_Önk kiegészítés2020'!$A11,'13.mell_ÖNKfeladatok2020'!N$5:N$158)</f>
        <v>0</v>
      </c>
      <c r="H11" s="629">
        <f>+SUMIF('13.mell_ÖNKfeladatok2020'!$B$5:$B$158,'14.mell_Önk kiegészítés2020'!$A11,'13.mell_ÖNKfeladatok2020'!O$5:O$158)</f>
        <v>0</v>
      </c>
      <c r="I11" s="629">
        <f>+SUMIF('13.mell_ÖNKfeladatok2020'!$B$5:$B$158,'14.mell_Önk kiegészítés2020'!$A11,'13.mell_ÖNKfeladatok2020'!P$5:P$158)</f>
        <v>0</v>
      </c>
      <c r="J11" s="668">
        <f t="shared" si="2"/>
        <v>0</v>
      </c>
      <c r="K11" s="629">
        <f>+SUMIF('13.mell_ÖNKfeladatok2020'!$B$166:$B$319,'14.mell_Önk kiegészítés2020'!$A11,'13.mell_ÖNKfeladatok2020'!I$166:I$319)</f>
        <v>0</v>
      </c>
      <c r="L11" s="629">
        <f>+SUMIF('13.mell_ÖNKfeladatok2020'!$B$166:$B$319,'14.mell_Önk kiegészítés2020'!$A11,'13.mell_ÖNKfeladatok2020'!J$166:J$319)</f>
        <v>0</v>
      </c>
      <c r="M11" s="629">
        <f>+SUMIF('13.mell_ÖNKfeladatok2020'!$B$166:$B$319,'14.mell_Önk kiegészítés2020'!$A11,'13.mell_ÖNKfeladatok2020'!K$166:K$319)</f>
        <v>0</v>
      </c>
      <c r="N11" s="629">
        <f>+SUMIF('13.mell_ÖNKfeladatok2020'!$B$166:$B$319,'14.mell_Önk kiegészítés2020'!$A11,'13.mell_ÖNKfeladatok2020'!L$166:L$319)</f>
        <v>49355</v>
      </c>
      <c r="O11" s="629">
        <f>+SUMIF('13.mell_ÖNKfeladatok2020'!$B$166:$B$319,'14.mell_Önk kiegészítés2020'!$A11,'13.mell_ÖNKfeladatok2020'!M$166:M$319)</f>
        <v>0</v>
      </c>
      <c r="P11" s="629">
        <f>+SUMIF('13.mell_ÖNKfeladatok2020'!$B$166:$B$319,'14.mell_Önk kiegészítés2020'!$A11,'13.mell_ÖNKfeladatok2020'!O$166:O$319)</f>
        <v>0</v>
      </c>
      <c r="Q11" s="629">
        <f>+SUMIF('13.mell_ÖNKfeladatok2020'!$B$166:$B$319,'14.mell_Önk kiegészítés2020'!$A11,'13.mell_ÖNKfeladatok2020'!P$166:P$319)</f>
        <v>0</v>
      </c>
      <c r="R11" s="629">
        <f>+SUMIF('13.mell_ÖNKfeladatok2020'!$B$166:$B$319,'14.mell_Önk kiegészítés2020'!$A11,'13.mell_ÖNKfeladatok2020'!Q$166:Q$319)</f>
        <v>0</v>
      </c>
      <c r="S11" s="668">
        <f t="shared" si="0"/>
        <v>49355</v>
      </c>
      <c r="T11" s="630">
        <f t="shared" si="3"/>
        <v>49355</v>
      </c>
      <c r="U11" s="1479">
        <f>+ROUND(SUMIF('10.mell_támogatások2020'!$B$6:$B$137,'14.mell_Önk kiegészítés2020'!$A11,'10.mell_támogatások2020'!D$6:D$137)/1000,0)</f>
        <v>122456</v>
      </c>
      <c r="V11" s="1436"/>
      <c r="W11" s="630">
        <f t="shared" si="1"/>
        <v>-73101</v>
      </c>
      <c r="Y11" s="994">
        <f>+W11+W15+W35+W36+W62-W35+13319</f>
        <v>-32355</v>
      </c>
      <c r="Z11" s="296" t="s">
        <v>1313</v>
      </c>
    </row>
    <row r="12" spans="1:42">
      <c r="A12" s="939">
        <f>A11+1</f>
        <v>7</v>
      </c>
      <c r="B12" s="628" t="s">
        <v>774</v>
      </c>
      <c r="C12" s="629">
        <f>+SUMIF('13.mell_ÖNKfeladatok2020'!$B$5:$B$158,'14.mell_Önk kiegészítés2020'!$A12,'13.mell_ÖNKfeladatok2020'!I$5:I$158)</f>
        <v>0</v>
      </c>
      <c r="D12" s="629">
        <f>+SUMIF('13.mell_ÖNKfeladatok2020'!$B$5:$B$158,'14.mell_Önk kiegészítés2020'!$A12,'13.mell_ÖNKfeladatok2020'!J$5:J$158)</f>
        <v>0</v>
      </c>
      <c r="E12" s="629">
        <f>+SUMIF('13.mell_ÖNKfeladatok2020'!$B$5:$B$158,'14.mell_Önk kiegészítés2020'!$A12,'13.mell_ÖNKfeladatok2020'!K$5:K$158)</f>
        <v>0</v>
      </c>
      <c r="F12" s="629">
        <f>+SUMIF('13.mell_ÖNKfeladatok2020'!$B$5:$B$158,'14.mell_Önk kiegészítés2020'!$A12,'13.mell_ÖNKfeladatok2020'!L$5:L$158)</f>
        <v>0</v>
      </c>
      <c r="G12" s="626">
        <f>+SUMIF('13.mell_ÖNKfeladatok2020'!$B$5:$B$158,'14.mell_Önk kiegészítés2020'!$A12,'13.mell_ÖNKfeladatok2020'!N$5:N$158)</f>
        <v>0</v>
      </c>
      <c r="H12" s="629">
        <f>+SUMIF('13.mell_ÖNKfeladatok2020'!$B$5:$B$158,'14.mell_Önk kiegészítés2020'!$A12,'13.mell_ÖNKfeladatok2020'!O$5:O$158)</f>
        <v>0</v>
      </c>
      <c r="I12" s="629">
        <f>+SUMIF('13.mell_ÖNKfeladatok2020'!$B$5:$B$158,'14.mell_Önk kiegészítés2020'!$A12,'13.mell_ÖNKfeladatok2020'!P$5:P$158)</f>
        <v>0</v>
      </c>
      <c r="J12" s="668">
        <f>SUM(C12:I12)</f>
        <v>0</v>
      </c>
      <c r="K12" s="629">
        <f>+SUMIF('13.mell_ÖNKfeladatok2020'!$B$166:$B$319,'14.mell_Önk kiegészítés2020'!$A12,'13.mell_ÖNKfeladatok2020'!I$166:I$319)</f>
        <v>0</v>
      </c>
      <c r="L12" s="629">
        <f>+SUMIF('13.mell_ÖNKfeladatok2020'!$B$166:$B$319,'14.mell_Önk kiegészítés2020'!$A12,'13.mell_ÖNKfeladatok2020'!J$166:J$319)</f>
        <v>0</v>
      </c>
      <c r="M12" s="629">
        <f>+SUMIF('13.mell_ÖNKfeladatok2020'!$B$166:$B$319,'14.mell_Önk kiegészítés2020'!$A12,'13.mell_ÖNKfeladatok2020'!K$166:K$319)</f>
        <v>0</v>
      </c>
      <c r="N12" s="629">
        <f>+SUMIF('13.mell_ÖNKfeladatok2020'!$B$166:$B$319,'14.mell_Önk kiegészítés2020'!$A12,'13.mell_ÖNKfeladatok2020'!L$166:L$319)</f>
        <v>0</v>
      </c>
      <c r="O12" s="629">
        <f>+SUMIF('13.mell_ÖNKfeladatok2020'!$B$166:$B$319,'14.mell_Önk kiegészítés2020'!$A12,'13.mell_ÖNKfeladatok2020'!M$166:M$319)</f>
        <v>0</v>
      </c>
      <c r="P12" s="629">
        <f>+SUMIF('13.mell_ÖNKfeladatok2020'!$B$166:$B$319,'14.mell_Önk kiegészítés2020'!$A12,'13.mell_ÖNKfeladatok2020'!O$166:O$319)</f>
        <v>0</v>
      </c>
      <c r="Q12" s="629">
        <f>+SUMIF('13.mell_ÖNKfeladatok2020'!$B$166:$B$319,'14.mell_Önk kiegészítés2020'!$A12,'13.mell_ÖNKfeladatok2020'!P$166:P$319)</f>
        <v>0</v>
      </c>
      <c r="R12" s="629">
        <f>+SUMIF('13.mell_ÖNKfeladatok2020'!$B$166:$B$319,'14.mell_Önk kiegészítés2020'!$A12,'13.mell_ÖNKfeladatok2020'!Q$166:Q$319)</f>
        <v>0</v>
      </c>
      <c r="S12" s="668">
        <f>SUM(K12:R12)</f>
        <v>0</v>
      </c>
      <c r="T12" s="630">
        <f>S12-J12</f>
        <v>0</v>
      </c>
      <c r="U12" s="1480">
        <f>+ROUND(SUMIF('10.mell_támogatások2020'!$B$6:$B$137,'14.mell_Önk kiegészítés2020'!$A12,'10.mell_támogatások2020'!D$6:D$137)/1000,0)</f>
        <v>0</v>
      </c>
      <c r="V12" s="1437"/>
      <c r="W12" s="630">
        <f t="shared" si="1"/>
        <v>0</v>
      </c>
    </row>
    <row r="13" spans="1:42" ht="12.75" thickBot="1">
      <c r="A13" s="939">
        <f>+A12+1</f>
        <v>8</v>
      </c>
      <c r="B13" s="631" t="s">
        <v>757</v>
      </c>
      <c r="C13" s="629">
        <f>+SUMIF('13.mell_ÖNKfeladatok2020'!$B$5:$B$158,'14.mell_Önk kiegészítés2020'!$A13,'13.mell_ÖNKfeladatok2020'!I$5:I$158)</f>
        <v>988986</v>
      </c>
      <c r="D13" s="632">
        <f>+SUMIF('13.mell_ÖNKfeladatok2020'!$B$5:$B$158,'14.mell_Önk kiegészítés2020'!$A13,'13.mell_ÖNKfeladatok2020'!J$5:J$158)</f>
        <v>396552</v>
      </c>
      <c r="E13" s="632">
        <f>+SUMIF('13.mell_ÖNKfeladatok2020'!$B$5:$B$158,'14.mell_Önk kiegészítés2020'!$A13,'13.mell_ÖNKfeladatok2020'!K$5:K$158)</f>
        <v>121738</v>
      </c>
      <c r="F13" s="632">
        <f>+SUMIF('13.mell_ÖNKfeladatok2020'!$B$5:$B$158,'14.mell_Önk kiegészítés2020'!$A13,'13.mell_ÖNKfeladatok2020'!L$5:L$158)</f>
        <v>0</v>
      </c>
      <c r="G13" s="626">
        <f>+SUMIF('13.mell_ÖNKfeladatok2020'!$B$5:$B$158,'14.mell_Önk kiegészítés2020'!$A13,'13.mell_ÖNKfeladatok2020'!N$5:N$158)</f>
        <v>32276</v>
      </c>
      <c r="H13" s="632">
        <f>+SUMIF('13.mell_ÖNKfeladatok2020'!$B$5:$B$158,'14.mell_Önk kiegészítés2020'!$A13,'13.mell_ÖNKfeladatok2020'!O$5:O$158)</f>
        <v>40350</v>
      </c>
      <c r="I13" s="632">
        <f>+SUMIF('13.mell_ÖNKfeladatok2020'!$B$5:$B$158,'14.mell_Önk kiegészítés2020'!$A13,'13.mell_ÖNKfeladatok2020'!P$5:P$158)</f>
        <v>0</v>
      </c>
      <c r="J13" s="668">
        <f t="shared" si="2"/>
        <v>1579902</v>
      </c>
      <c r="K13" s="629">
        <f>+SUMIF('13.mell_ÖNKfeladatok2020'!$B$166:$B$319,'14.mell_Önk kiegészítés2020'!$A13,'13.mell_ÖNKfeladatok2020'!I$166:I$319)</f>
        <v>33433</v>
      </c>
      <c r="L13" s="629">
        <f>+SUMIF('13.mell_ÖNKfeladatok2020'!$B$166:$B$319,'14.mell_Önk kiegészítés2020'!$A13,'13.mell_ÖNKfeladatok2020'!J$166:J$319)</f>
        <v>3695</v>
      </c>
      <c r="M13" s="629">
        <f>+SUMIF('13.mell_ÖNKfeladatok2020'!$B$166:$B$319,'14.mell_Önk kiegészítés2020'!$A13,'13.mell_ÖNKfeladatok2020'!K$166:K$319)</f>
        <v>129518</v>
      </c>
      <c r="N13" s="629">
        <f>+SUMIF('13.mell_ÖNKfeladatok2020'!$B$166:$B$319,'14.mell_Önk kiegészítés2020'!$A13,'13.mell_ÖNKfeladatok2020'!L$166:L$319)</f>
        <v>0</v>
      </c>
      <c r="O13" s="629">
        <f>+SUMIF('13.mell_ÖNKfeladatok2020'!$B$166:$B$319,'14.mell_Önk kiegészítés2020'!$A13,'13.mell_ÖNKfeladatok2020'!M$166:M$319)</f>
        <v>2708607</v>
      </c>
      <c r="P13" s="629">
        <f>+SUMIF('13.mell_ÖNKfeladatok2020'!$B$166:$B$319,'14.mell_Önk kiegészítés2020'!$A13,'13.mell_ÖNKfeladatok2020'!O$166:O$319)</f>
        <v>73500</v>
      </c>
      <c r="Q13" s="629">
        <f>+SUMIF('13.mell_ÖNKfeladatok2020'!$B$166:$B$319,'14.mell_Önk kiegészítés2020'!$A13,'13.mell_ÖNKfeladatok2020'!P$166:P$319)</f>
        <v>6000</v>
      </c>
      <c r="R13" s="629">
        <f>+SUMIF('13.mell_ÖNKfeladatok2020'!$B$166:$B$319,'14.mell_Önk kiegészítés2020'!$A13,'13.mell_ÖNKfeladatok2020'!Q$166:Q$319)</f>
        <v>0</v>
      </c>
      <c r="S13" s="668">
        <f t="shared" si="0"/>
        <v>2954753</v>
      </c>
      <c r="T13" s="630">
        <f t="shared" si="3"/>
        <v>1374851</v>
      </c>
      <c r="U13" s="1480">
        <f>-ROUND('10.mell_támogatások2020'!D$137/1000,0)+ROUND(SUMIF('10.mell_támogatások2020'!$B$6:$B$137,'14.mell_Önk kiegészítés2020'!$A13,'10.mell_támogatások2020'!D$6:D$137)/1000,0)-2</f>
        <v>-754252</v>
      </c>
      <c r="V13" s="1437">
        <f>2845803-33049-10024+61637</f>
        <v>2864367</v>
      </c>
      <c r="W13" s="630">
        <f t="shared" si="1"/>
        <v>-735264</v>
      </c>
      <c r="AC13" s="296">
        <v>2845803</v>
      </c>
      <c r="AE13" s="296">
        <f>-26419-6630</f>
        <v>-33049</v>
      </c>
      <c r="AF13" s="296">
        <v>-10024</v>
      </c>
      <c r="AI13" s="296">
        <f>11933+6559+43145</f>
        <v>61637</v>
      </c>
    </row>
    <row r="14" spans="1:42" s="621" customFormat="1" ht="12.75" thickBot="1">
      <c r="A14" s="633" t="s">
        <v>587</v>
      </c>
      <c r="B14" s="634" t="s">
        <v>410</v>
      </c>
      <c r="C14" s="635">
        <f>SUM(C6:C13)</f>
        <v>988986</v>
      </c>
      <c r="D14" s="636">
        <f t="shared" ref="D14:W14" si="4">SUM(D6:D13)</f>
        <v>396552</v>
      </c>
      <c r="E14" s="636">
        <f t="shared" si="4"/>
        <v>123238</v>
      </c>
      <c r="F14" s="636">
        <f t="shared" si="4"/>
        <v>0</v>
      </c>
      <c r="G14" s="636">
        <f t="shared" si="4"/>
        <v>32276</v>
      </c>
      <c r="H14" s="636">
        <f t="shared" si="4"/>
        <v>40350</v>
      </c>
      <c r="I14" s="637">
        <f t="shared" si="4"/>
        <v>0</v>
      </c>
      <c r="J14" s="638">
        <f t="shared" si="4"/>
        <v>1581402</v>
      </c>
      <c r="K14" s="635">
        <f t="shared" si="4"/>
        <v>76485</v>
      </c>
      <c r="L14" s="635">
        <f t="shared" si="4"/>
        <v>10414</v>
      </c>
      <c r="M14" s="635">
        <f t="shared" si="4"/>
        <v>183775</v>
      </c>
      <c r="N14" s="635">
        <f t="shared" si="4"/>
        <v>49355</v>
      </c>
      <c r="O14" s="635">
        <f t="shared" si="4"/>
        <v>2708607</v>
      </c>
      <c r="P14" s="635">
        <f t="shared" si="4"/>
        <v>75000</v>
      </c>
      <c r="Q14" s="635">
        <f t="shared" si="4"/>
        <v>67258</v>
      </c>
      <c r="R14" s="635">
        <f t="shared" si="4"/>
        <v>0</v>
      </c>
      <c r="S14" s="638">
        <f t="shared" si="4"/>
        <v>3170894</v>
      </c>
      <c r="T14" s="638">
        <f t="shared" si="4"/>
        <v>1589492</v>
      </c>
      <c r="U14" s="1481">
        <f t="shared" si="4"/>
        <v>-569758</v>
      </c>
      <c r="V14" s="639">
        <f t="shared" ref="V14" si="5">SUM(V6:V13)</f>
        <v>2878297</v>
      </c>
      <c r="W14" s="638">
        <f t="shared" si="4"/>
        <v>-719047</v>
      </c>
      <c r="AB14" s="296"/>
      <c r="AC14" s="296"/>
      <c r="AD14" s="296"/>
      <c r="AE14" s="296"/>
      <c r="AF14" s="296"/>
      <c r="AG14" s="296"/>
      <c r="AH14" s="296"/>
      <c r="AI14" s="296"/>
      <c r="AJ14" s="296"/>
      <c r="AK14" s="296"/>
      <c r="AL14" s="296"/>
      <c r="AM14" s="296"/>
      <c r="AN14" s="296"/>
      <c r="AO14" s="296"/>
      <c r="AP14" s="296"/>
    </row>
    <row r="15" spans="1:42" ht="12.75">
      <c r="A15" s="939">
        <f>+A13+1</f>
        <v>9</v>
      </c>
      <c r="B15" s="631" t="s">
        <v>772</v>
      </c>
      <c r="C15" s="632">
        <f>+SUMIF('13.mell_ÖNKfeladatok2020'!$B$5:$B$158,'14.mell_Önk kiegészítés2020'!$A15,'13.mell_ÖNKfeladatok2020'!I$5:I$158)</f>
        <v>0</v>
      </c>
      <c r="D15" s="632">
        <f>+SUMIF('13.mell_ÖNKfeladatok2020'!$B$5:$B$158,'14.mell_Önk kiegészítés2020'!$A15,'13.mell_ÖNKfeladatok2020'!J$5:J$158)</f>
        <v>0</v>
      </c>
      <c r="E15" s="632">
        <f>+SUMIF('13.mell_ÖNKfeladatok2020'!$B$5:$B$158,'14.mell_Önk kiegészítés2020'!$A15,'13.mell_ÖNKfeladatok2020'!K$5:K$158)</f>
        <v>0</v>
      </c>
      <c r="F15" s="632">
        <f>+SUMIF('13.mell_ÖNKfeladatok2020'!$B$5:$B$158,'14.mell_Önk kiegészítés2020'!$A15,'13.mell_ÖNKfeladatok2020'!L$5:L$158)</f>
        <v>0</v>
      </c>
      <c r="G15" s="632">
        <f>+SUMIF('13.mell_ÖNKfeladatok2020'!$B$5:$B$158,'14.mell_Önk kiegészítés2020'!$A15,'13.mell_ÖNKfeladatok2020'!N$5:N$158)</f>
        <v>0</v>
      </c>
      <c r="H15" s="632">
        <f>+SUMIF('13.mell_ÖNKfeladatok2020'!$B$5:$B$158,'14.mell_Önk kiegészítés2020'!$A15,'13.mell_ÖNKfeladatok2020'!O$5:O$158)</f>
        <v>0</v>
      </c>
      <c r="I15" s="632">
        <f>+SUMIF('13.mell_ÖNKfeladatok2020'!$B$5:$B$158,'14.mell_Önk kiegészítés2020'!$A15,'13.mell_ÖNKfeladatok2020'!P$5:P$158)</f>
        <v>0</v>
      </c>
      <c r="J15" s="669">
        <f>SUM(C15:I15)</f>
        <v>0</v>
      </c>
      <c r="K15" s="629">
        <f>+SUMIF('13.mell_ÖNKfeladatok2020'!$B$166:$B$319,'14.mell_Önk kiegészítés2020'!$A15,'13.mell_ÖNKfeladatok2020'!I$166:I$319)</f>
        <v>0</v>
      </c>
      <c r="L15" s="629">
        <f>+SUMIF('13.mell_ÖNKfeladatok2020'!$B$166:$B$319,'14.mell_Önk kiegészítés2020'!$A15,'13.mell_ÖNKfeladatok2020'!J$166:J$319)</f>
        <v>0</v>
      </c>
      <c r="M15" s="629">
        <f>+SUMIF('13.mell_ÖNKfeladatok2020'!$B$166:$B$319,'14.mell_Önk kiegészítés2020'!$A15,'13.mell_ÖNKfeladatok2020'!K$166:K$319)</f>
        <v>0</v>
      </c>
      <c r="N15" s="629">
        <f>+SUMIF('13.mell_ÖNKfeladatok2020'!$B$166:$B$319,'14.mell_Önk kiegészítés2020'!$A15,'13.mell_ÖNKfeladatok2020'!L$166:L$319)</f>
        <v>3424</v>
      </c>
      <c r="O15" s="629">
        <f>+SUMIF('13.mell_ÖNKfeladatok2020'!$B$166:$B$319,'14.mell_Önk kiegészítés2020'!$A15,'13.mell_ÖNKfeladatok2020'!M$166:M$319)</f>
        <v>0</v>
      </c>
      <c r="P15" s="629">
        <f>+SUMIF('13.mell_ÖNKfeladatok2020'!$B$166:$B$319,'14.mell_Önk kiegészítés2020'!$A15,'13.mell_ÖNKfeladatok2020'!O$166:O$319)</f>
        <v>0</v>
      </c>
      <c r="Q15" s="629">
        <f>+SUMIF('13.mell_ÖNKfeladatok2020'!$B$166:$B$319,'14.mell_Önk kiegészítés2020'!$A15,'13.mell_ÖNKfeladatok2020'!P$166:P$319)</f>
        <v>0</v>
      </c>
      <c r="R15" s="629">
        <f>+SUMIF('13.mell_ÖNKfeladatok2020'!$B$166:$B$319,'14.mell_Önk kiegészítés2020'!$A15,'13.mell_ÖNKfeladatok2020'!Q$166:Q$319)</f>
        <v>0</v>
      </c>
      <c r="S15" s="668">
        <f>SUM(K15:R15)</f>
        <v>3424</v>
      </c>
      <c r="T15" s="630">
        <f>S15-J15</f>
        <v>3424</v>
      </c>
      <c r="U15" s="1482">
        <f>+ROUND(SUMIF('10.mell_támogatások2020'!$B$6:$B$137,'14.mell_Önk kiegészítés2020'!$A15,'10.mell_támogatások2020'!D$6:D$137)/1000,0)</f>
        <v>0</v>
      </c>
      <c r="V15" s="1438"/>
      <c r="W15" s="630">
        <f t="shared" ref="W15:W16" si="6">+T15-U15-V15</f>
        <v>3424</v>
      </c>
    </row>
    <row r="16" spans="1:42" ht="12.75" thickBot="1">
      <c r="A16" s="939">
        <f>+A15+1</f>
        <v>10</v>
      </c>
      <c r="B16" s="631" t="s">
        <v>758</v>
      </c>
      <c r="C16" s="632">
        <f>+SUMIF('13.mell_ÖNKfeladatok2020'!$B$5:$B$158,'14.mell_Önk kiegészítés2020'!$A16,'13.mell_ÖNKfeladatok2020'!I$5:I$158)</f>
        <v>0</v>
      </c>
      <c r="D16" s="632">
        <f>+SUMIF('13.mell_ÖNKfeladatok2020'!$B$5:$B$158,'14.mell_Önk kiegészítés2020'!$A16,'13.mell_ÖNKfeladatok2020'!J$5:J$158)</f>
        <v>0</v>
      </c>
      <c r="E16" s="632">
        <f>+SUMIF('13.mell_ÖNKfeladatok2020'!$B$5:$B$158,'14.mell_Önk kiegészítés2020'!$A16,'13.mell_ÖNKfeladatok2020'!K$5:K$158)</f>
        <v>0</v>
      </c>
      <c r="F16" s="632">
        <f>+SUMIF('13.mell_ÖNKfeladatok2020'!$B$5:$B$158,'14.mell_Önk kiegészítés2020'!$A16,'13.mell_ÖNKfeladatok2020'!L$5:L$158)</f>
        <v>0</v>
      </c>
      <c r="G16" s="632">
        <f>+SUMIF('13.mell_ÖNKfeladatok2020'!$B$5:$B$158,'14.mell_Önk kiegészítés2020'!$A16,'13.mell_ÖNKfeladatok2020'!N$5:N$158)</f>
        <v>0</v>
      </c>
      <c r="H16" s="632">
        <f>+SUMIF('13.mell_ÖNKfeladatok2020'!$B$5:$B$158,'14.mell_Önk kiegészítés2020'!$A16,'13.mell_ÖNKfeladatok2020'!O$5:O$158)</f>
        <v>0</v>
      </c>
      <c r="I16" s="632">
        <f>+SUMIF('13.mell_ÖNKfeladatok2020'!$B$5:$B$158,'14.mell_Önk kiegészítés2020'!$A16,'13.mell_ÖNKfeladatok2020'!P$5:P$158)</f>
        <v>1100</v>
      </c>
      <c r="J16" s="669">
        <f t="shared" si="2"/>
        <v>1100</v>
      </c>
      <c r="K16" s="629">
        <f>+SUMIF('13.mell_ÖNKfeladatok2020'!$B$166:$B$319,'14.mell_Önk kiegészítés2020'!$A16,'13.mell_ÖNKfeladatok2020'!I$166:I$319)</f>
        <v>0</v>
      </c>
      <c r="L16" s="629">
        <f>+SUMIF('13.mell_ÖNKfeladatok2020'!$B$166:$B$319,'14.mell_Önk kiegészítés2020'!$A16,'13.mell_ÖNKfeladatok2020'!J$166:J$319)</f>
        <v>0</v>
      </c>
      <c r="M16" s="629">
        <f>+SUMIF('13.mell_ÖNKfeladatok2020'!$B$166:$B$319,'14.mell_Önk kiegészítés2020'!$A16,'13.mell_ÖNKfeladatok2020'!K$166:K$319)</f>
        <v>2000</v>
      </c>
      <c r="N16" s="629">
        <f>+SUMIF('13.mell_ÖNKfeladatok2020'!$B$166:$B$319,'14.mell_Önk kiegészítés2020'!$A16,'13.mell_ÖNKfeladatok2020'!L$166:L$319)</f>
        <v>0</v>
      </c>
      <c r="O16" s="629">
        <f>+SUMIF('13.mell_ÖNKfeladatok2020'!$B$166:$B$319,'14.mell_Önk kiegészítés2020'!$A16,'13.mell_ÖNKfeladatok2020'!M$166:M$319)</f>
        <v>1000</v>
      </c>
      <c r="P16" s="629">
        <f>+SUMIF('13.mell_ÖNKfeladatok2020'!$B$166:$B$319,'14.mell_Önk kiegészítés2020'!$A16,'13.mell_ÖNKfeladatok2020'!O$166:O$319)</f>
        <v>345250</v>
      </c>
      <c r="Q16" s="629">
        <f>+SUMIF('13.mell_ÖNKfeladatok2020'!$B$166:$B$319,'14.mell_Önk kiegészítés2020'!$A16,'13.mell_ÖNKfeladatok2020'!P$166:P$319)</f>
        <v>0</v>
      </c>
      <c r="R16" s="629">
        <f>+SUMIF('13.mell_ÖNKfeladatok2020'!$B$166:$B$319,'14.mell_Önk kiegészítés2020'!$A16,'13.mell_ÖNKfeladatok2020'!Q$166:Q$319)</f>
        <v>0</v>
      </c>
      <c r="S16" s="668">
        <f>SUM(K16:R16)</f>
        <v>348250</v>
      </c>
      <c r="T16" s="630">
        <f t="shared" si="3"/>
        <v>347150</v>
      </c>
      <c r="U16" s="1480">
        <f>+ROUND(SUMIF('10.mell_támogatások2020'!$B$6:$B$137,'14.mell_Önk kiegészítés2020'!$A16,'10.mell_támogatások2020'!D$6:D$137)/1000,0)</f>
        <v>0</v>
      </c>
      <c r="V16" s="1437"/>
      <c r="W16" s="630">
        <f t="shared" si="6"/>
        <v>347150</v>
      </c>
    </row>
    <row r="17" spans="1:42" s="621" customFormat="1" ht="12.75" thickBot="1">
      <c r="A17" s="633" t="s">
        <v>588</v>
      </c>
      <c r="B17" s="634" t="s">
        <v>411</v>
      </c>
      <c r="C17" s="635">
        <f t="shared" ref="C17:W17" si="7">SUM(C15:C16)</f>
        <v>0</v>
      </c>
      <c r="D17" s="636">
        <f t="shared" si="7"/>
        <v>0</v>
      </c>
      <c r="E17" s="636">
        <f t="shared" si="7"/>
        <v>0</v>
      </c>
      <c r="F17" s="636">
        <f t="shared" si="7"/>
        <v>0</v>
      </c>
      <c r="G17" s="636">
        <f t="shared" si="7"/>
        <v>0</v>
      </c>
      <c r="H17" s="636">
        <f t="shared" si="7"/>
        <v>0</v>
      </c>
      <c r="I17" s="639">
        <f t="shared" si="7"/>
        <v>1100</v>
      </c>
      <c r="J17" s="638">
        <f t="shared" si="7"/>
        <v>1100</v>
      </c>
      <c r="K17" s="635">
        <f t="shared" si="7"/>
        <v>0</v>
      </c>
      <c r="L17" s="635">
        <f t="shared" si="7"/>
        <v>0</v>
      </c>
      <c r="M17" s="635">
        <f t="shared" si="7"/>
        <v>2000</v>
      </c>
      <c r="N17" s="635">
        <f t="shared" si="7"/>
        <v>3424</v>
      </c>
      <c r="O17" s="635">
        <f t="shared" si="7"/>
        <v>1000</v>
      </c>
      <c r="P17" s="635">
        <f t="shared" si="7"/>
        <v>345250</v>
      </c>
      <c r="Q17" s="635">
        <f t="shared" si="7"/>
        <v>0</v>
      </c>
      <c r="R17" s="635">
        <f t="shared" si="7"/>
        <v>0</v>
      </c>
      <c r="S17" s="638">
        <f t="shared" si="7"/>
        <v>351674</v>
      </c>
      <c r="T17" s="638">
        <f t="shared" si="7"/>
        <v>350574</v>
      </c>
      <c r="U17" s="1481">
        <f t="shared" si="7"/>
        <v>0</v>
      </c>
      <c r="V17" s="639">
        <f t="shared" ref="V17" si="8">SUM(V15:V16)</f>
        <v>0</v>
      </c>
      <c r="W17" s="638">
        <f t="shared" si="7"/>
        <v>350574</v>
      </c>
      <c r="AB17" s="296"/>
      <c r="AC17" s="296"/>
      <c r="AD17" s="296"/>
      <c r="AE17" s="296"/>
      <c r="AF17" s="296"/>
      <c r="AG17" s="296"/>
      <c r="AH17" s="296"/>
      <c r="AI17" s="296"/>
      <c r="AJ17" s="296"/>
      <c r="AK17" s="296"/>
      <c r="AL17" s="296"/>
      <c r="AM17" s="296"/>
      <c r="AN17" s="296"/>
      <c r="AO17" s="296"/>
      <c r="AP17" s="296"/>
    </row>
    <row r="18" spans="1:42" ht="12.75" thickBot="1">
      <c r="A18" s="939">
        <f>+A16+1</f>
        <v>11</v>
      </c>
      <c r="B18" s="640" t="s">
        <v>412</v>
      </c>
      <c r="C18" s="641">
        <f>+SUMIF('13.mell_ÖNKfeladatok2020'!$B$5:$B$158,'14.mell_Önk kiegészítés2020'!$A18,'13.mell_ÖNKfeladatok2020'!I$5:I$158)</f>
        <v>0</v>
      </c>
      <c r="D18" s="641">
        <f>+SUMIF('13.mell_ÖNKfeladatok2020'!$B$5:$B$158,'14.mell_Önk kiegészítés2020'!$A18,'13.mell_ÖNKfeladatok2020'!J$5:J$158)</f>
        <v>0</v>
      </c>
      <c r="E18" s="641">
        <f>+SUMIF('13.mell_ÖNKfeladatok2020'!$B$5:$B$158,'14.mell_Önk kiegészítés2020'!$A18,'13.mell_ÖNKfeladatok2020'!K$5:K$158)</f>
        <v>0</v>
      </c>
      <c r="F18" s="641">
        <f>+SUMIF('13.mell_ÖNKfeladatok2020'!$B$5:$B$158,'14.mell_Önk kiegészítés2020'!$A18,'13.mell_ÖNKfeladatok2020'!L$5:L$158)</f>
        <v>0</v>
      </c>
      <c r="G18" s="641">
        <f>+SUMIF('13.mell_ÖNKfeladatok2020'!$B$5:$B$158,'14.mell_Önk kiegészítés2020'!$A18,'13.mell_ÖNKfeladatok2020'!N$5:N$158)</f>
        <v>0</v>
      </c>
      <c r="H18" s="641">
        <f>+SUMIF('13.mell_ÖNKfeladatok2020'!$B$5:$B$158,'14.mell_Önk kiegészítés2020'!$A18,'13.mell_ÖNKfeladatok2020'!O$5:O$158)</f>
        <v>0</v>
      </c>
      <c r="I18" s="641">
        <f>+SUMIF('13.mell_ÖNKfeladatok2020'!$B$5:$B$158,'14.mell_Önk kiegészítés2020'!$A18,'13.mell_ÖNKfeladatok2020'!P$5:P$158)</f>
        <v>0</v>
      </c>
      <c r="J18" s="670">
        <f t="shared" si="2"/>
        <v>0</v>
      </c>
      <c r="K18" s="629">
        <f>+SUMIF('13.mell_ÖNKfeladatok2020'!$B$166:$B$319,'14.mell_Önk kiegészítés2020'!$A18,'13.mell_ÖNKfeladatok2020'!I$166:I$319)</f>
        <v>0</v>
      </c>
      <c r="L18" s="629">
        <f>+SUMIF('13.mell_ÖNKfeladatok2020'!$B$166:$B$319,'14.mell_Önk kiegészítés2020'!$A18,'13.mell_ÖNKfeladatok2020'!J$166:J$319)</f>
        <v>0</v>
      </c>
      <c r="M18" s="629">
        <f>+SUMIF('13.mell_ÖNKfeladatok2020'!$B$166:$B$319,'14.mell_Önk kiegészítés2020'!$A18,'13.mell_ÖNKfeladatok2020'!K$166:K$319)</f>
        <v>0</v>
      </c>
      <c r="N18" s="629">
        <f>+SUMIF('13.mell_ÖNKfeladatok2020'!$B$166:$B$319,'14.mell_Önk kiegészítés2020'!$A18,'13.mell_ÖNKfeladatok2020'!L$166:L$319)</f>
        <v>0</v>
      </c>
      <c r="O18" s="629">
        <f>+SUMIF('13.mell_ÖNKfeladatok2020'!$B$166:$B$319,'14.mell_Önk kiegészítés2020'!$A18,'13.mell_ÖNKfeladatok2020'!M$166:M$319)</f>
        <v>0</v>
      </c>
      <c r="P18" s="629">
        <f>+SUMIF('13.mell_ÖNKfeladatok2020'!$B$166:$B$319,'14.mell_Önk kiegészítés2020'!$A18,'13.mell_ÖNKfeladatok2020'!O$166:O$319)</f>
        <v>0</v>
      </c>
      <c r="Q18" s="629">
        <f>+SUMIF('13.mell_ÖNKfeladatok2020'!$B$166:$B$319,'14.mell_Önk kiegészítés2020'!$A18,'13.mell_ÖNKfeladatok2020'!P$166:P$319)</f>
        <v>0</v>
      </c>
      <c r="R18" s="629">
        <f>+SUMIF('13.mell_ÖNKfeladatok2020'!$B$166:$B$319,'14.mell_Önk kiegészítés2020'!$A18,'13.mell_ÖNKfeladatok2020'!Q$166:Q$319)</f>
        <v>0</v>
      </c>
      <c r="S18" s="668">
        <f>SUM(K18:R18)</f>
        <v>0</v>
      </c>
      <c r="T18" s="630">
        <f t="shared" si="3"/>
        <v>0</v>
      </c>
      <c r="U18" s="1480">
        <f>+ROUND(SUMIF('10.mell_támogatások2020'!$B$6:$B$137,'14.mell_Önk kiegészítés2020'!$A18,'10.mell_támogatások2020'!D$6:D$137)/1000,0)</f>
        <v>0</v>
      </c>
      <c r="V18" s="1437"/>
      <c r="W18" s="630">
        <f>+T18-U18-V18</f>
        <v>0</v>
      </c>
    </row>
    <row r="19" spans="1:42" s="621" customFormat="1" ht="12.75" thickBot="1">
      <c r="A19" s="633" t="s">
        <v>589</v>
      </c>
      <c r="B19" s="634" t="s">
        <v>412</v>
      </c>
      <c r="C19" s="635">
        <f>SUM(C18)</f>
        <v>0</v>
      </c>
      <c r="D19" s="636">
        <f t="shared" ref="D19:W19" si="9">SUM(D18)</f>
        <v>0</v>
      </c>
      <c r="E19" s="636">
        <f t="shared" si="9"/>
        <v>0</v>
      </c>
      <c r="F19" s="636">
        <f t="shared" si="9"/>
        <v>0</v>
      </c>
      <c r="G19" s="636">
        <f t="shared" si="9"/>
        <v>0</v>
      </c>
      <c r="H19" s="636">
        <f t="shared" si="9"/>
        <v>0</v>
      </c>
      <c r="I19" s="639">
        <f t="shared" si="9"/>
        <v>0</v>
      </c>
      <c r="J19" s="638">
        <f t="shared" si="9"/>
        <v>0</v>
      </c>
      <c r="K19" s="635">
        <f t="shared" si="9"/>
        <v>0</v>
      </c>
      <c r="L19" s="635">
        <f t="shared" si="9"/>
        <v>0</v>
      </c>
      <c r="M19" s="635">
        <f t="shared" si="9"/>
        <v>0</v>
      </c>
      <c r="N19" s="635">
        <f t="shared" si="9"/>
        <v>0</v>
      </c>
      <c r="O19" s="635">
        <f t="shared" si="9"/>
        <v>0</v>
      </c>
      <c r="P19" s="635">
        <f t="shared" si="9"/>
        <v>0</v>
      </c>
      <c r="Q19" s="635">
        <f t="shared" si="9"/>
        <v>0</v>
      </c>
      <c r="R19" s="635">
        <f t="shared" si="9"/>
        <v>0</v>
      </c>
      <c r="S19" s="638">
        <f t="shared" si="9"/>
        <v>0</v>
      </c>
      <c r="T19" s="638">
        <f t="shared" si="9"/>
        <v>0</v>
      </c>
      <c r="U19" s="1481">
        <f t="shared" si="9"/>
        <v>0</v>
      </c>
      <c r="V19" s="639">
        <f t="shared" ref="V19" si="10">SUM(V18)</f>
        <v>0</v>
      </c>
      <c r="W19" s="638">
        <f t="shared" si="9"/>
        <v>0</v>
      </c>
      <c r="AB19" s="296"/>
      <c r="AC19" s="296"/>
      <c r="AD19" s="296"/>
      <c r="AE19" s="296"/>
      <c r="AF19" s="296"/>
      <c r="AG19" s="296"/>
      <c r="AH19" s="296"/>
      <c r="AI19" s="296"/>
      <c r="AJ19" s="296"/>
      <c r="AK19" s="296"/>
      <c r="AL19" s="296"/>
      <c r="AM19" s="296"/>
      <c r="AN19" s="296"/>
      <c r="AO19" s="296"/>
      <c r="AP19" s="296"/>
    </row>
    <row r="20" spans="1:42" s="621" customFormat="1" ht="12.75" thickBot="1">
      <c r="A20" s="642" t="s">
        <v>23</v>
      </c>
      <c r="B20" s="643" t="s">
        <v>413</v>
      </c>
      <c r="C20" s="644">
        <f t="shared" ref="C20:W20" si="11">+C14+C17+C19</f>
        <v>988986</v>
      </c>
      <c r="D20" s="645">
        <f t="shared" si="11"/>
        <v>396552</v>
      </c>
      <c r="E20" s="645">
        <f t="shared" si="11"/>
        <v>123238</v>
      </c>
      <c r="F20" s="645">
        <f t="shared" si="11"/>
        <v>0</v>
      </c>
      <c r="G20" s="645">
        <f t="shared" si="11"/>
        <v>32276</v>
      </c>
      <c r="H20" s="645">
        <f t="shared" si="11"/>
        <v>40350</v>
      </c>
      <c r="I20" s="646">
        <f t="shared" si="11"/>
        <v>1100</v>
      </c>
      <c r="J20" s="647">
        <f t="shared" si="11"/>
        <v>1582502</v>
      </c>
      <c r="K20" s="644">
        <f t="shared" si="11"/>
        <v>76485</v>
      </c>
      <c r="L20" s="644">
        <f t="shared" si="11"/>
        <v>10414</v>
      </c>
      <c r="M20" s="644">
        <f t="shared" si="11"/>
        <v>185775</v>
      </c>
      <c r="N20" s="644">
        <f t="shared" si="11"/>
        <v>52779</v>
      </c>
      <c r="O20" s="644">
        <f t="shared" si="11"/>
        <v>2709607</v>
      </c>
      <c r="P20" s="644">
        <f t="shared" si="11"/>
        <v>420250</v>
      </c>
      <c r="Q20" s="644">
        <f t="shared" si="11"/>
        <v>67258</v>
      </c>
      <c r="R20" s="644">
        <f t="shared" si="11"/>
        <v>0</v>
      </c>
      <c r="S20" s="647">
        <f t="shared" si="11"/>
        <v>3522568</v>
      </c>
      <c r="T20" s="647">
        <f t="shared" si="11"/>
        <v>1940066</v>
      </c>
      <c r="U20" s="1483">
        <f t="shared" si="11"/>
        <v>-569758</v>
      </c>
      <c r="V20" s="646">
        <f t="shared" ref="V20" si="12">+V14+V17+V19</f>
        <v>2878297</v>
      </c>
      <c r="W20" s="647">
        <f t="shared" si="11"/>
        <v>-368473</v>
      </c>
      <c r="Y20" s="621">
        <f>+'13.mell_ÖNKfeladatok2020'!G90-J20</f>
        <v>0</v>
      </c>
      <c r="Z20" s="621">
        <f>+'13.mell_ÖNKfeladatok2020'!G251-S20</f>
        <v>0</v>
      </c>
      <c r="AB20" s="296"/>
      <c r="AC20" s="296"/>
      <c r="AD20" s="296"/>
      <c r="AE20" s="296"/>
      <c r="AF20" s="296"/>
      <c r="AG20" s="296"/>
      <c r="AH20" s="296"/>
      <c r="AI20" s="296"/>
      <c r="AJ20" s="296"/>
      <c r="AK20" s="296"/>
      <c r="AL20" s="296"/>
      <c r="AM20" s="296"/>
      <c r="AN20" s="296"/>
      <c r="AO20" s="296"/>
      <c r="AP20" s="296"/>
    </row>
    <row r="21" spans="1:42" s="621" customFormat="1" ht="12.75" thickBot="1">
      <c r="A21" s="653"/>
      <c r="B21" s="654"/>
      <c r="C21" s="655"/>
      <c r="D21" s="655"/>
      <c r="E21" s="655"/>
      <c r="F21" s="655"/>
      <c r="G21" s="655"/>
      <c r="H21" s="655"/>
      <c r="I21" s="980"/>
      <c r="J21" s="658"/>
      <c r="K21" s="655"/>
      <c r="L21" s="655"/>
      <c r="M21" s="655"/>
      <c r="N21" s="655"/>
      <c r="O21" s="655"/>
      <c r="P21" s="655"/>
      <c r="Q21" s="655"/>
      <c r="R21" s="655"/>
      <c r="S21" s="658"/>
      <c r="T21" s="658"/>
      <c r="U21" s="980"/>
      <c r="V21" s="657"/>
      <c r="W21" s="658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</row>
    <row r="22" spans="1:42">
      <c r="A22" s="981">
        <f>+A18+1</f>
        <v>12</v>
      </c>
      <c r="B22" s="982" t="s">
        <v>773</v>
      </c>
      <c r="C22" s="641">
        <f>+SUMIF('13.mell_ÖNKfeladatok2020'!$B$5:$B$158,'14.mell_Önk kiegészítés2020'!$A22,'13.mell_ÖNKfeladatok2020'!I$5:I$158)</f>
        <v>0</v>
      </c>
      <c r="D22" s="641">
        <f>+SUMIF('13.mell_ÖNKfeladatok2020'!$B$5:$B$158,'14.mell_Önk kiegészítés2020'!$A22,'13.mell_ÖNKfeladatok2020'!J$5:J$158)</f>
        <v>0</v>
      </c>
      <c r="E22" s="641">
        <f>+SUMIF('13.mell_ÖNKfeladatok2020'!$B$5:$B$158,'14.mell_Önk kiegészítés2020'!$A22,'13.mell_ÖNKfeladatok2020'!K$5:K$158)</f>
        <v>0</v>
      </c>
      <c r="F22" s="641">
        <f>+SUMIF('13.mell_ÖNKfeladatok2020'!$B$5:$B$158,'14.mell_Önk kiegészítés2020'!$A22,'13.mell_ÖNKfeladatok2020'!L$5:L$158)</f>
        <v>0</v>
      </c>
      <c r="G22" s="641">
        <f>+SUMIF('13.mell_ÖNKfeladatok2020'!$B$5:$B$158,'14.mell_Önk kiegészítés2020'!$A22,'13.mell_ÖNKfeladatok2020'!N$5:N$158)</f>
        <v>0</v>
      </c>
      <c r="H22" s="641">
        <f>+SUMIF('13.mell_ÖNKfeladatok2020'!$B$5:$B$158,'14.mell_Önk kiegészítés2020'!$A22,'13.mell_ÖNKfeladatok2020'!O$5:O$158)</f>
        <v>0</v>
      </c>
      <c r="I22" s="641">
        <f>+SUMIF('13.mell_ÖNKfeladatok2020'!$B$5:$B$158,'14.mell_Önk kiegészítés2020'!$A22,'13.mell_ÖNKfeladatok2020'!P$5:P$158)</f>
        <v>0</v>
      </c>
      <c r="J22" s="667">
        <f>SUM(C22:I22)</f>
        <v>0</v>
      </c>
      <c r="K22" s="626">
        <f>+SUMIF('13.mell_ÖNKfeladatok2020'!$B$166:$B$319,'14.mell_Önk kiegészítés2020'!$A22,'13.mell_ÖNKfeladatok2020'!I$166:I$319)</f>
        <v>168150</v>
      </c>
      <c r="L22" s="626">
        <f>+SUMIF('13.mell_ÖNKfeladatok2020'!$B$166:$B$319,'14.mell_Önk kiegészítés2020'!$A22,'13.mell_ÖNKfeladatok2020'!J$166:J$319)</f>
        <v>32584</v>
      </c>
      <c r="M22" s="626">
        <f>+SUMIF('13.mell_ÖNKfeladatok2020'!$B$166:$B$319,'14.mell_Önk kiegészítés2020'!$A22,'13.mell_ÖNKfeladatok2020'!K$166:K$319)</f>
        <v>23213</v>
      </c>
      <c r="N22" s="626">
        <f>+SUMIF('13.mell_ÖNKfeladatok2020'!$B$166:$B$319,'14.mell_Önk kiegészítés2020'!$A22,'13.mell_ÖNKfeladatok2020'!L$166:L$319)</f>
        <v>0</v>
      </c>
      <c r="O22" s="626">
        <f>+SUMIF('13.mell_ÖNKfeladatok2020'!$B$166:$B$319,'14.mell_Önk kiegészítés2020'!$A22,'13.mell_ÖNKfeladatok2020'!M$166:M$319)</f>
        <v>0</v>
      </c>
      <c r="P22" s="626">
        <f>+SUMIF('13.mell_ÖNKfeladatok2020'!$B$166:$B$319,'14.mell_Önk kiegészítés2020'!$A22,'13.mell_ÖNKfeladatok2020'!O$166:O$319)</f>
        <v>4000</v>
      </c>
      <c r="Q22" s="626">
        <f>+SUMIF('13.mell_ÖNKfeladatok2020'!$B$166:$B$319,'14.mell_Önk kiegészítés2020'!$A22,'13.mell_ÖNKfeladatok2020'!P$166:P$319)</f>
        <v>0</v>
      </c>
      <c r="R22" s="626">
        <f>+SUMIF('13.mell_ÖNKfeladatok2020'!$B$166:$B$319,'14.mell_Önk kiegészítés2020'!$A22,'13.mell_ÖNKfeladatok2020'!Q$166:Q$319)</f>
        <v>0</v>
      </c>
      <c r="S22" s="667">
        <f>SUM(K22:R22)</f>
        <v>227947</v>
      </c>
      <c r="T22" s="627">
        <f>S22-J22</f>
        <v>227947</v>
      </c>
      <c r="U22" s="1479">
        <f>+ROUND(SUMIF('10.mell_támogatások2020'!$B$6:$B$137,'14.mell_Önk kiegészítés2020'!$A22,'10.mell_támogatások2020'!D$6:D$137)/1000,0)</f>
        <v>145965</v>
      </c>
      <c r="V22" s="1436">
        <f>26419+10024-77159</f>
        <v>-40716</v>
      </c>
      <c r="W22" s="627">
        <f t="shared" ref="W22:W24" si="13">+T22-U22-V22</f>
        <v>122698</v>
      </c>
      <c r="AE22" s="296">
        <v>26419</v>
      </c>
      <c r="AF22" s="296">
        <v>10024</v>
      </c>
      <c r="AI22" s="296">
        <f>-13930-61637-1592</f>
        <v>-77159</v>
      </c>
    </row>
    <row r="23" spans="1:42">
      <c r="A23" s="939">
        <f>+A22+1</f>
        <v>13</v>
      </c>
      <c r="B23" s="628" t="s">
        <v>774</v>
      </c>
      <c r="C23" s="632">
        <f>+SUMIF('13.mell_ÖNKfeladatok2020'!$B$5:$B$158,'14.mell_Önk kiegészítés2020'!$A23,'13.mell_ÖNKfeladatok2020'!I$5:I$158)</f>
        <v>0</v>
      </c>
      <c r="D23" s="632">
        <f>+SUMIF('13.mell_ÖNKfeladatok2020'!$B$5:$B$158,'14.mell_Önk kiegészítés2020'!$A23,'13.mell_ÖNKfeladatok2020'!J$5:J$158)</f>
        <v>0</v>
      </c>
      <c r="E23" s="632">
        <f>+SUMIF('13.mell_ÖNKfeladatok2020'!$B$5:$B$158,'14.mell_Önk kiegészítés2020'!$A23,'13.mell_ÖNKfeladatok2020'!K$5:K$158)</f>
        <v>0</v>
      </c>
      <c r="F23" s="632">
        <f>+SUMIF('13.mell_ÖNKfeladatok2020'!$B$5:$B$158,'14.mell_Önk kiegészítés2020'!$A23,'13.mell_ÖNKfeladatok2020'!L$5:L$158)</f>
        <v>0</v>
      </c>
      <c r="G23" s="632">
        <f>+SUMIF('13.mell_ÖNKfeladatok2020'!$B$5:$B$158,'14.mell_Önk kiegészítés2020'!$A23,'13.mell_ÖNKfeladatok2020'!N$5:N$158)</f>
        <v>0</v>
      </c>
      <c r="H23" s="632">
        <f>+SUMIF('13.mell_ÖNKfeladatok2020'!$B$5:$B$158,'14.mell_Önk kiegészítés2020'!$A23,'13.mell_ÖNKfeladatok2020'!O$5:O$158)</f>
        <v>0</v>
      </c>
      <c r="I23" s="632">
        <f>+SUMIF('13.mell_ÖNKfeladatok2020'!$B$5:$B$158,'14.mell_Önk kiegészítés2020'!$A23,'13.mell_ÖNKfeladatok2020'!P$5:P$158)</f>
        <v>0</v>
      </c>
      <c r="J23" s="668">
        <f>SUM(C23:I23)</f>
        <v>0</v>
      </c>
      <c r="K23" s="629">
        <f>+SUMIF('13.mell_ÖNKfeladatok2020'!$B$166:$B$319,'14.mell_Önk kiegészítés2020'!$A23,'13.mell_ÖNKfeladatok2020'!I$166:I$319)</f>
        <v>0</v>
      </c>
      <c r="L23" s="629">
        <f>+SUMIF('13.mell_ÖNKfeladatok2020'!$B$166:$B$319,'14.mell_Önk kiegészítés2020'!$A23,'13.mell_ÖNKfeladatok2020'!J$166:J$319)</f>
        <v>0</v>
      </c>
      <c r="M23" s="629">
        <f>+SUMIF('13.mell_ÖNKfeladatok2020'!$B$166:$B$319,'14.mell_Önk kiegészítés2020'!$A23,'13.mell_ÖNKfeladatok2020'!K$166:K$319)</f>
        <v>0</v>
      </c>
      <c r="N23" s="629">
        <f>+SUMIF('13.mell_ÖNKfeladatok2020'!$B$166:$B$319,'14.mell_Önk kiegészítés2020'!$A23,'13.mell_ÖNKfeladatok2020'!L$166:L$319)</f>
        <v>0</v>
      </c>
      <c r="O23" s="629">
        <f>+SUMIF('13.mell_ÖNKfeladatok2020'!$B$166:$B$319,'14.mell_Önk kiegészítés2020'!$A23,'13.mell_ÖNKfeladatok2020'!M$166:M$319)</f>
        <v>0</v>
      </c>
      <c r="P23" s="629">
        <f>+SUMIF('13.mell_ÖNKfeladatok2020'!$B$166:$B$319,'14.mell_Önk kiegészítés2020'!$A23,'13.mell_ÖNKfeladatok2020'!O$166:O$319)</f>
        <v>0</v>
      </c>
      <c r="Q23" s="629">
        <f>+SUMIF('13.mell_ÖNKfeladatok2020'!$B$166:$B$319,'14.mell_Önk kiegészítés2020'!$A23,'13.mell_ÖNKfeladatok2020'!P$166:P$319)</f>
        <v>0</v>
      </c>
      <c r="R23" s="629">
        <f>+SUMIF('13.mell_ÖNKfeladatok2020'!$B$166:$B$319,'14.mell_Önk kiegészítés2020'!$A23,'13.mell_ÖNKfeladatok2020'!Q$166:Q$319)</f>
        <v>0</v>
      </c>
      <c r="S23" s="668">
        <f>SUM(K23:R23)</f>
        <v>0</v>
      </c>
      <c r="T23" s="630">
        <f>S23-J23</f>
        <v>0</v>
      </c>
      <c r="U23" s="1480">
        <f>+ROUND(SUMIF('10.mell_támogatások2020'!$B$6:$B$137,'14.mell_Önk kiegészítés2020'!$A23,'10.mell_támogatások2020'!D$6:D$137)/1000,0)</f>
        <v>0</v>
      </c>
      <c r="V23" s="1437"/>
      <c r="W23" s="630">
        <f t="shared" si="13"/>
        <v>0</v>
      </c>
    </row>
    <row r="24" spans="1:42" ht="12.75" thickBot="1">
      <c r="A24" s="939">
        <f>+A23+1</f>
        <v>14</v>
      </c>
      <c r="B24" s="631" t="s">
        <v>759</v>
      </c>
      <c r="C24" s="632">
        <f>+SUMIF('13.mell_ÖNKfeladatok2020'!$B$5:$B$158,'14.mell_Önk kiegészítés2020'!$A24,'13.mell_ÖNKfeladatok2020'!I$5:I$158)</f>
        <v>0</v>
      </c>
      <c r="D24" s="632">
        <f>+SUMIF('13.mell_ÖNKfeladatok2020'!$B$5:$B$158,'14.mell_Önk kiegészítés2020'!$A24,'13.mell_ÖNKfeladatok2020'!J$5:J$158)</f>
        <v>0</v>
      </c>
      <c r="E24" s="632">
        <f>+SUMIF('13.mell_ÖNKfeladatok2020'!$B$5:$B$158,'14.mell_Önk kiegészítés2020'!$A24,'13.mell_ÖNKfeladatok2020'!K$5:K$158)</f>
        <v>9308</v>
      </c>
      <c r="F24" s="632">
        <f>+SUMIF('13.mell_ÖNKfeladatok2020'!$B$5:$B$158,'14.mell_Önk kiegészítés2020'!$A24,'13.mell_ÖNKfeladatok2020'!L$5:L$158)</f>
        <v>0</v>
      </c>
      <c r="G24" s="632">
        <f>+SUMIF('13.mell_ÖNKfeladatok2020'!$B$5:$B$158,'14.mell_Önk kiegészítés2020'!$A24,'13.mell_ÖNKfeladatok2020'!N$5:N$158)</f>
        <v>0</v>
      </c>
      <c r="H24" s="632">
        <f>+SUMIF('13.mell_ÖNKfeladatok2020'!$B$5:$B$158,'14.mell_Önk kiegészítés2020'!$A24,'13.mell_ÖNKfeladatok2020'!O$5:O$158)</f>
        <v>0</v>
      </c>
      <c r="I24" s="632">
        <f>+SUMIF('13.mell_ÖNKfeladatok2020'!$B$5:$B$158,'14.mell_Önk kiegészítés2020'!$A24,'13.mell_ÖNKfeladatok2020'!P$5:P$158)</f>
        <v>0</v>
      </c>
      <c r="J24" s="668">
        <f>SUM(C24:I24)</f>
        <v>9308</v>
      </c>
      <c r="K24" s="629">
        <f>+SUMIF('13.mell_ÖNKfeladatok2020'!$B$166:$B$319,'14.mell_Önk kiegészítés2020'!$A24,'13.mell_ÖNKfeladatok2020'!I$166:I$319)</f>
        <v>105621</v>
      </c>
      <c r="L24" s="629">
        <f>+SUMIF('13.mell_ÖNKfeladatok2020'!$B$166:$B$319,'14.mell_Önk kiegészítés2020'!$A24,'13.mell_ÖNKfeladatok2020'!J$166:J$319)</f>
        <v>18800</v>
      </c>
      <c r="M24" s="629">
        <f>+SUMIF('13.mell_ÖNKfeladatok2020'!$B$166:$B$319,'14.mell_Önk kiegészítés2020'!$A24,'13.mell_ÖNKfeladatok2020'!K$166:K$319)</f>
        <v>13704</v>
      </c>
      <c r="N24" s="629">
        <f>+SUMIF('13.mell_ÖNKfeladatok2020'!$B$166:$B$319,'14.mell_Önk kiegészítés2020'!$A24,'13.mell_ÖNKfeladatok2020'!L$166:L$319)</f>
        <v>0</v>
      </c>
      <c r="O24" s="629">
        <f>+SUMIF('13.mell_ÖNKfeladatok2020'!$B$166:$B$319,'14.mell_Önk kiegészítés2020'!$A24,'13.mell_ÖNKfeladatok2020'!M$166:M$319)</f>
        <v>0</v>
      </c>
      <c r="P24" s="629">
        <f>+SUMIF('13.mell_ÖNKfeladatok2020'!$B$166:$B$319,'14.mell_Önk kiegészítés2020'!$A24,'13.mell_ÖNKfeladatok2020'!O$166:O$319)</f>
        <v>0</v>
      </c>
      <c r="Q24" s="629">
        <f>+SUMIF('13.mell_ÖNKfeladatok2020'!$B$166:$B$319,'14.mell_Önk kiegészítés2020'!$A24,'13.mell_ÖNKfeladatok2020'!P$166:P$319)</f>
        <v>0</v>
      </c>
      <c r="R24" s="629">
        <f>+SUMIF('13.mell_ÖNKfeladatok2020'!$B$166:$B$319,'14.mell_Önk kiegészítés2020'!$A24,'13.mell_ÖNKfeladatok2020'!Q$166:Q$319)</f>
        <v>0</v>
      </c>
      <c r="S24" s="668">
        <f>SUM(K24:R24)</f>
        <v>138125</v>
      </c>
      <c r="T24" s="630">
        <f>S24-J24</f>
        <v>128817</v>
      </c>
      <c r="U24" s="1480">
        <f>+ROUND(SUMIF('10.mell_támogatások2020'!$B$6:$B$137,'14.mell_Önk kiegészítés2020'!$A24,'10.mell_támogatások2020'!D$6:D$137)/1000,0)</f>
        <v>0</v>
      </c>
      <c r="V24" s="1437"/>
      <c r="W24" s="630">
        <f t="shared" si="13"/>
        <v>128817</v>
      </c>
    </row>
    <row r="25" spans="1:42" s="621" customFormat="1" ht="12.75" thickBot="1">
      <c r="A25" s="633" t="s">
        <v>590</v>
      </c>
      <c r="B25" s="634" t="s">
        <v>869</v>
      </c>
      <c r="C25" s="635">
        <f t="shared" ref="C25:W25" si="14">SUM(C22:C24)</f>
        <v>0</v>
      </c>
      <c r="D25" s="636">
        <f t="shared" si="14"/>
        <v>0</v>
      </c>
      <c r="E25" s="636">
        <f t="shared" si="14"/>
        <v>9308</v>
      </c>
      <c r="F25" s="636">
        <f t="shared" si="14"/>
        <v>0</v>
      </c>
      <c r="G25" s="636">
        <f t="shared" si="14"/>
        <v>0</v>
      </c>
      <c r="H25" s="636">
        <f t="shared" si="14"/>
        <v>0</v>
      </c>
      <c r="I25" s="637">
        <f t="shared" si="14"/>
        <v>0</v>
      </c>
      <c r="J25" s="638">
        <f t="shared" si="14"/>
        <v>9308</v>
      </c>
      <c r="K25" s="635">
        <f t="shared" si="14"/>
        <v>273771</v>
      </c>
      <c r="L25" s="635">
        <f t="shared" si="14"/>
        <v>51384</v>
      </c>
      <c r="M25" s="635">
        <f t="shared" si="14"/>
        <v>36917</v>
      </c>
      <c r="N25" s="635">
        <f t="shared" si="14"/>
        <v>0</v>
      </c>
      <c r="O25" s="635">
        <f t="shared" si="14"/>
        <v>0</v>
      </c>
      <c r="P25" s="635">
        <f t="shared" si="14"/>
        <v>4000</v>
      </c>
      <c r="Q25" s="635">
        <f t="shared" si="14"/>
        <v>0</v>
      </c>
      <c r="R25" s="635">
        <f t="shared" si="14"/>
        <v>0</v>
      </c>
      <c r="S25" s="638">
        <f t="shared" si="14"/>
        <v>366072</v>
      </c>
      <c r="T25" s="638">
        <f t="shared" si="14"/>
        <v>356764</v>
      </c>
      <c r="U25" s="1481">
        <f t="shared" si="14"/>
        <v>145965</v>
      </c>
      <c r="V25" s="639">
        <f t="shared" ref="V25" si="15">SUM(V22:V24)</f>
        <v>-40716</v>
      </c>
      <c r="W25" s="638">
        <f t="shared" si="14"/>
        <v>251515</v>
      </c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</row>
    <row r="26" spans="1:42">
      <c r="A26" s="939">
        <f>+A24+1</f>
        <v>15</v>
      </c>
      <c r="B26" s="652" t="s">
        <v>416</v>
      </c>
      <c r="C26" s="626">
        <f>+SUMIF('13.mell_ÖNKfeladatok2020'!$B$5:$B$158,'14.mell_Önk kiegészítés2020'!$A26,'13.mell_ÖNKfeladatok2020'!I$5:I$158)</f>
        <v>0</v>
      </c>
      <c r="D26" s="626">
        <f>+SUMIF('13.mell_ÖNKfeladatok2020'!$B$5:$B$158,'14.mell_Önk kiegészítés2020'!$A26,'13.mell_ÖNKfeladatok2020'!J$5:J$158)</f>
        <v>0</v>
      </c>
      <c r="E26" s="626">
        <f>+SUMIF('13.mell_ÖNKfeladatok2020'!$B$5:$B$158,'14.mell_Önk kiegészítés2020'!$A26,'13.mell_ÖNKfeladatok2020'!K$5:K$158)</f>
        <v>32151</v>
      </c>
      <c r="F26" s="626">
        <f>+SUMIF('13.mell_ÖNKfeladatok2020'!$B$5:$B$158,'14.mell_Önk kiegészítés2020'!$A26,'13.mell_ÖNKfeladatok2020'!L$5:L$158)</f>
        <v>0</v>
      </c>
      <c r="G26" s="626">
        <f>+SUMIF('13.mell_ÖNKfeladatok2020'!$B$5:$B$158,'14.mell_Önk kiegészítés2020'!$A26,'13.mell_ÖNKfeladatok2020'!N$5:N$158)</f>
        <v>0</v>
      </c>
      <c r="H26" s="626">
        <f>+SUMIF('13.mell_ÖNKfeladatok2020'!$B$5:$B$158,'14.mell_Önk kiegészítés2020'!$A26,'13.mell_ÖNKfeladatok2020'!O$5:O$158)</f>
        <v>0</v>
      </c>
      <c r="I26" s="626">
        <f>+SUMIF('13.mell_ÖNKfeladatok2020'!$B$5:$B$158,'14.mell_Önk kiegészítés2020'!$A26,'13.mell_ÖNKfeladatok2020'!P$5:P$158)</f>
        <v>0</v>
      </c>
      <c r="J26" s="668">
        <f>SUM(C26:I26)</f>
        <v>32151</v>
      </c>
      <c r="K26" s="629">
        <f>+SUMIF('13.mell_ÖNKfeladatok2020'!$B$166:$B$319,'14.mell_Önk kiegészítés2020'!$A26,'13.mell_ÖNKfeladatok2020'!I$166:I$319)</f>
        <v>9229</v>
      </c>
      <c r="L26" s="629">
        <f>+SUMIF('13.mell_ÖNKfeladatok2020'!$B$166:$B$319,'14.mell_Önk kiegészítés2020'!$A26,'13.mell_ÖNKfeladatok2020'!J$166:J$319)</f>
        <v>1643</v>
      </c>
      <c r="M26" s="629">
        <f>+SUMIF('13.mell_ÖNKfeladatok2020'!$B$166:$B$319,'14.mell_Önk kiegészítés2020'!$A26,'13.mell_ÖNKfeladatok2020'!K$166:K$319)</f>
        <v>22728</v>
      </c>
      <c r="N26" s="629">
        <f>+SUMIF('13.mell_ÖNKfeladatok2020'!$B$166:$B$319,'14.mell_Önk kiegészítés2020'!$A26,'13.mell_ÖNKfeladatok2020'!L$166:L$319)</f>
        <v>0</v>
      </c>
      <c r="O26" s="629">
        <f>+SUMIF('13.mell_ÖNKfeladatok2020'!$B$166:$B$319,'14.mell_Önk kiegészítés2020'!$A26,'13.mell_ÖNKfeladatok2020'!M$166:M$319)</f>
        <v>0</v>
      </c>
      <c r="P26" s="629">
        <f>+SUMIF('13.mell_ÖNKfeladatok2020'!$B$166:$B$319,'14.mell_Önk kiegészítés2020'!$A26,'13.mell_ÖNKfeladatok2020'!O$166:O$319)</f>
        <v>0</v>
      </c>
      <c r="Q26" s="629">
        <f>+SUMIF('13.mell_ÖNKfeladatok2020'!$B$166:$B$319,'14.mell_Önk kiegészítés2020'!$A26,'13.mell_ÖNKfeladatok2020'!P$166:P$319)</f>
        <v>0</v>
      </c>
      <c r="R26" s="629">
        <f>+SUMIF('13.mell_ÖNKfeladatok2020'!$B$166:$B$319,'14.mell_Önk kiegészítés2020'!$A26,'13.mell_ÖNKfeladatok2020'!Q$166:Q$319)</f>
        <v>0</v>
      </c>
      <c r="S26" s="668">
        <f>SUM(K26:R26)</f>
        <v>33600</v>
      </c>
      <c r="T26" s="630">
        <f>S26-J26</f>
        <v>1449</v>
      </c>
      <c r="U26" s="1480">
        <f>+ROUND(SUMIF('10.mell_támogatások2020'!$B$6:$B$137,'14.mell_Önk kiegészítés2020'!$A26,'10.mell_támogatások2020'!D$6:D$137)/1000,0)</f>
        <v>0</v>
      </c>
      <c r="V26" s="1437"/>
      <c r="W26" s="630">
        <f t="shared" ref="W26:W28" si="16">+T26-U26-V26</f>
        <v>1449</v>
      </c>
    </row>
    <row r="27" spans="1:42">
      <c r="A27" s="939">
        <f>+A26+1</f>
        <v>16</v>
      </c>
      <c r="B27" s="631" t="s">
        <v>647</v>
      </c>
      <c r="C27" s="632">
        <f>+SUMIF('13.mell_ÖNKfeladatok2020'!$B$5:$B$158,'14.mell_Önk kiegészítés2020'!$A27,'13.mell_ÖNKfeladatok2020'!I$5:I$158)</f>
        <v>0</v>
      </c>
      <c r="D27" s="632">
        <f>+SUMIF('13.mell_ÖNKfeladatok2020'!$B$5:$B$158,'14.mell_Önk kiegészítés2020'!$A27,'13.mell_ÖNKfeladatok2020'!J$5:J$158)</f>
        <v>0</v>
      </c>
      <c r="E27" s="632">
        <f>+SUMIF('13.mell_ÖNKfeladatok2020'!$B$5:$B$158,'14.mell_Önk kiegészítés2020'!$A27,'13.mell_ÖNKfeladatok2020'!K$5:K$158)</f>
        <v>0</v>
      </c>
      <c r="F27" s="632">
        <f>+SUMIF('13.mell_ÖNKfeladatok2020'!$B$5:$B$158,'14.mell_Önk kiegészítés2020'!$A27,'13.mell_ÖNKfeladatok2020'!L$5:L$158)</f>
        <v>0</v>
      </c>
      <c r="G27" s="632">
        <f>+SUMIF('13.mell_ÖNKfeladatok2020'!$B$5:$B$158,'14.mell_Önk kiegészítés2020'!$A27,'13.mell_ÖNKfeladatok2020'!N$5:N$158)</f>
        <v>0</v>
      </c>
      <c r="H27" s="632">
        <f>+SUMIF('13.mell_ÖNKfeladatok2020'!$B$5:$B$158,'14.mell_Önk kiegészítés2020'!$A27,'13.mell_ÖNKfeladatok2020'!O$5:O$158)</f>
        <v>0</v>
      </c>
      <c r="I27" s="632">
        <f>+SUMIF('13.mell_ÖNKfeladatok2020'!$B$5:$B$158,'14.mell_Önk kiegészítés2020'!$A27,'13.mell_ÖNKfeladatok2020'!P$5:P$158)</f>
        <v>0</v>
      </c>
      <c r="J27" s="669">
        <f>SUM(C27:I27)</f>
        <v>0</v>
      </c>
      <c r="K27" s="629">
        <f>+SUMIF('13.mell_ÖNKfeladatok2020'!$B$166:$B$319,'14.mell_Önk kiegészítés2020'!$A27,'13.mell_ÖNKfeladatok2020'!I$166:I$319)</f>
        <v>5403</v>
      </c>
      <c r="L27" s="629">
        <f>+SUMIF('13.mell_ÖNKfeladatok2020'!$B$166:$B$319,'14.mell_Önk kiegészítés2020'!$A27,'13.mell_ÖNKfeladatok2020'!J$166:J$319)</f>
        <v>864</v>
      </c>
      <c r="M27" s="629">
        <f>+SUMIF('13.mell_ÖNKfeladatok2020'!$B$166:$B$319,'14.mell_Önk kiegészítés2020'!$A27,'13.mell_ÖNKfeladatok2020'!K$166:K$319)</f>
        <v>381</v>
      </c>
      <c r="N27" s="629">
        <f>+SUMIF('13.mell_ÖNKfeladatok2020'!$B$166:$B$319,'14.mell_Önk kiegészítés2020'!$A27,'13.mell_ÖNKfeladatok2020'!L$166:L$319)</f>
        <v>0</v>
      </c>
      <c r="O27" s="629">
        <f>+SUMIF('13.mell_ÖNKfeladatok2020'!$B$166:$B$319,'14.mell_Önk kiegészítés2020'!$A27,'13.mell_ÖNKfeladatok2020'!M$166:M$319)</f>
        <v>0</v>
      </c>
      <c r="P27" s="629">
        <f>+SUMIF('13.mell_ÖNKfeladatok2020'!$B$166:$B$319,'14.mell_Önk kiegészítés2020'!$A27,'13.mell_ÖNKfeladatok2020'!O$166:O$319)</f>
        <v>0</v>
      </c>
      <c r="Q27" s="629">
        <f>+SUMIF('13.mell_ÖNKfeladatok2020'!$B$166:$B$319,'14.mell_Önk kiegészítés2020'!$A27,'13.mell_ÖNKfeladatok2020'!P$166:P$319)</f>
        <v>0</v>
      </c>
      <c r="R27" s="629">
        <f>+SUMIF('13.mell_ÖNKfeladatok2020'!$B$166:$B$319,'14.mell_Önk kiegészítés2020'!$A27,'13.mell_ÖNKfeladatok2020'!Q$166:Q$319)</f>
        <v>0</v>
      </c>
      <c r="S27" s="668">
        <f>SUM(K27:R27)</f>
        <v>6648</v>
      </c>
      <c r="T27" s="630">
        <f>S27-J27</f>
        <v>6648</v>
      </c>
      <c r="U27" s="1480">
        <f>+ROUND(SUMIF('10.mell_támogatások2020'!$B$6:$B$137,'14.mell_Önk kiegészítés2020'!$A27,'10.mell_támogatások2020'!D$6:D$137)/1000,0)</f>
        <v>0</v>
      </c>
      <c r="V27" s="1437"/>
      <c r="W27" s="630">
        <f t="shared" si="16"/>
        <v>6648</v>
      </c>
    </row>
    <row r="28" spans="1:42" ht="12.75" thickBot="1">
      <c r="A28" s="939">
        <f>+A27+1</f>
        <v>17</v>
      </c>
      <c r="B28" s="631" t="s">
        <v>894</v>
      </c>
      <c r="C28" s="632">
        <f>+SUMIF('13.mell_ÖNKfeladatok2020'!$B$5:$B$158,'14.mell_Önk kiegészítés2020'!$A28,'13.mell_ÖNKfeladatok2020'!I$5:I$158)</f>
        <v>0</v>
      </c>
      <c r="D28" s="632">
        <f>+SUMIF('13.mell_ÖNKfeladatok2020'!$B$5:$B$158,'14.mell_Önk kiegészítés2020'!$A28,'13.mell_ÖNKfeladatok2020'!J$5:J$158)</f>
        <v>0</v>
      </c>
      <c r="E28" s="632">
        <f>+SUMIF('13.mell_ÖNKfeladatok2020'!$B$5:$B$158,'14.mell_Önk kiegészítés2020'!$A28,'13.mell_ÖNKfeladatok2020'!K$5:K$158)</f>
        <v>0</v>
      </c>
      <c r="F28" s="632">
        <f>+SUMIF('13.mell_ÖNKfeladatok2020'!$B$5:$B$158,'14.mell_Önk kiegészítés2020'!$A28,'13.mell_ÖNKfeladatok2020'!L$5:L$158)</f>
        <v>0</v>
      </c>
      <c r="G28" s="632">
        <f>+SUMIF('13.mell_ÖNKfeladatok2020'!$B$5:$B$158,'14.mell_Önk kiegészítés2020'!$A28,'13.mell_ÖNKfeladatok2020'!N$5:N$158)</f>
        <v>0</v>
      </c>
      <c r="H28" s="632">
        <f>+SUMIF('13.mell_ÖNKfeladatok2020'!$B$5:$B$158,'14.mell_Önk kiegészítés2020'!$A28,'13.mell_ÖNKfeladatok2020'!O$5:O$158)</f>
        <v>0</v>
      </c>
      <c r="I28" s="632">
        <f>+SUMIF('13.mell_ÖNKfeladatok2020'!$B$5:$B$158,'14.mell_Önk kiegészítés2020'!$A28,'13.mell_ÖNKfeladatok2020'!P$5:P$158)</f>
        <v>0</v>
      </c>
      <c r="J28" s="669">
        <f>SUM(C28:I28)</f>
        <v>0</v>
      </c>
      <c r="K28" s="629">
        <f>+SUMIF('13.mell_ÖNKfeladatok2020'!$B$166:$B$319,'14.mell_Önk kiegészítés2020'!$A28,'13.mell_ÖNKfeladatok2020'!I$166:I$319)</f>
        <v>0</v>
      </c>
      <c r="L28" s="629">
        <f>+SUMIF('13.mell_ÖNKfeladatok2020'!$B$166:$B$319,'14.mell_Önk kiegészítés2020'!$A28,'13.mell_ÖNKfeladatok2020'!J$166:J$319)</f>
        <v>0</v>
      </c>
      <c r="M28" s="629">
        <f>+SUMIF('13.mell_ÖNKfeladatok2020'!$B$166:$B$319,'14.mell_Önk kiegészítés2020'!$A28,'13.mell_ÖNKfeladatok2020'!K$166:K$319)</f>
        <v>0</v>
      </c>
      <c r="N28" s="629">
        <f>+SUMIF('13.mell_ÖNKfeladatok2020'!$B$166:$B$319,'14.mell_Önk kiegészítés2020'!$A28,'13.mell_ÖNKfeladatok2020'!L$166:L$319)</f>
        <v>0</v>
      </c>
      <c r="O28" s="629">
        <f>+SUMIF('13.mell_ÖNKfeladatok2020'!$B$166:$B$319,'14.mell_Önk kiegészítés2020'!$A28,'13.mell_ÖNKfeladatok2020'!M$166:M$319)</f>
        <v>0</v>
      </c>
      <c r="P28" s="629">
        <f>+SUMIF('13.mell_ÖNKfeladatok2020'!$B$166:$B$319,'14.mell_Önk kiegészítés2020'!$A28,'13.mell_ÖNKfeladatok2020'!O$166:O$319)</f>
        <v>0</v>
      </c>
      <c r="Q28" s="629">
        <f>+SUMIF('13.mell_ÖNKfeladatok2020'!$B$166:$B$319,'14.mell_Önk kiegészítés2020'!$A28,'13.mell_ÖNKfeladatok2020'!P$166:P$319)</f>
        <v>0</v>
      </c>
      <c r="R28" s="629">
        <f>+SUMIF('13.mell_ÖNKfeladatok2020'!$B$166:$B$319,'14.mell_Önk kiegészítés2020'!$A28,'13.mell_ÖNKfeladatok2020'!Q$166:Q$319)</f>
        <v>0</v>
      </c>
      <c r="S28" s="668">
        <f>SUM(K28:R28)</f>
        <v>0</v>
      </c>
      <c r="T28" s="630">
        <f>S28-J28</f>
        <v>0</v>
      </c>
      <c r="U28" s="1480">
        <f>+ROUND(SUMIF('10.mell_támogatások2020'!$B$6:$B$137,'14.mell_Önk kiegészítés2020'!$A28,'10.mell_támogatások2020'!D$6:D$137)/1000,0)</f>
        <v>0</v>
      </c>
      <c r="V28" s="1437"/>
      <c r="W28" s="630">
        <f t="shared" si="16"/>
        <v>0</v>
      </c>
    </row>
    <row r="29" spans="1:42" s="621" customFormat="1" ht="12.75" thickBot="1">
      <c r="A29" s="633" t="s">
        <v>632</v>
      </c>
      <c r="B29" s="634" t="s">
        <v>870</v>
      </c>
      <c r="C29" s="635">
        <f>SUM(C26:C28)</f>
        <v>0</v>
      </c>
      <c r="D29" s="636">
        <f t="shared" ref="D29:W29" si="17">SUM(D26:D28)</f>
        <v>0</v>
      </c>
      <c r="E29" s="636">
        <f t="shared" si="17"/>
        <v>32151</v>
      </c>
      <c r="F29" s="636">
        <f t="shared" si="17"/>
        <v>0</v>
      </c>
      <c r="G29" s="636">
        <f t="shared" si="17"/>
        <v>0</v>
      </c>
      <c r="H29" s="636">
        <f t="shared" si="17"/>
        <v>0</v>
      </c>
      <c r="I29" s="639">
        <f t="shared" si="17"/>
        <v>0</v>
      </c>
      <c r="J29" s="638">
        <f t="shared" si="17"/>
        <v>32151</v>
      </c>
      <c r="K29" s="635">
        <f t="shared" si="17"/>
        <v>14632</v>
      </c>
      <c r="L29" s="635">
        <f t="shared" si="17"/>
        <v>2507</v>
      </c>
      <c r="M29" s="635">
        <f t="shared" si="17"/>
        <v>23109</v>
      </c>
      <c r="N29" s="635">
        <f t="shared" si="17"/>
        <v>0</v>
      </c>
      <c r="O29" s="635">
        <f t="shared" si="17"/>
        <v>0</v>
      </c>
      <c r="P29" s="635">
        <f t="shared" si="17"/>
        <v>0</v>
      </c>
      <c r="Q29" s="635">
        <f t="shared" si="17"/>
        <v>0</v>
      </c>
      <c r="R29" s="635">
        <f t="shared" si="17"/>
        <v>0</v>
      </c>
      <c r="S29" s="638">
        <f t="shared" si="17"/>
        <v>40248</v>
      </c>
      <c r="T29" s="638">
        <f t="shared" si="17"/>
        <v>8097</v>
      </c>
      <c r="U29" s="1481">
        <f t="shared" si="17"/>
        <v>0</v>
      </c>
      <c r="V29" s="639">
        <f t="shared" ref="V29" si="18">SUM(V26:V28)</f>
        <v>0</v>
      </c>
      <c r="W29" s="638">
        <f t="shared" si="17"/>
        <v>8097</v>
      </c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</row>
    <row r="30" spans="1:42" ht="12.75" thickBot="1">
      <c r="A30" s="939">
        <f>+A28+1</f>
        <v>18</v>
      </c>
      <c r="B30" s="640" t="s">
        <v>871</v>
      </c>
      <c r="C30" s="641">
        <f>+SUMIF('13.mell_ÖNKfeladatok2020'!$B$5:$B$158,'14.mell_Önk kiegészítés2020'!$A30,'13.mell_ÖNKfeladatok2020'!I$5:I$158)</f>
        <v>0</v>
      </c>
      <c r="D30" s="641">
        <f>+SUMIF('13.mell_ÖNKfeladatok2020'!$B$5:$B$158,'14.mell_Önk kiegészítés2020'!$A30,'13.mell_ÖNKfeladatok2020'!J$5:J$158)</f>
        <v>0</v>
      </c>
      <c r="E30" s="641">
        <f>+SUMIF('13.mell_ÖNKfeladatok2020'!$B$5:$B$158,'14.mell_Önk kiegészítés2020'!$A30,'13.mell_ÖNKfeladatok2020'!K$5:K$158)</f>
        <v>0</v>
      </c>
      <c r="F30" s="641">
        <f>+SUMIF('13.mell_ÖNKfeladatok2020'!$B$5:$B$158,'14.mell_Önk kiegészítés2020'!$A30,'13.mell_ÖNKfeladatok2020'!L$5:L$158)</f>
        <v>0</v>
      </c>
      <c r="G30" s="641">
        <f>+SUMIF('13.mell_ÖNKfeladatok2020'!$B$5:$B$158,'14.mell_Önk kiegészítés2020'!$A30,'13.mell_ÖNKfeladatok2020'!N$5:N$158)</f>
        <v>0</v>
      </c>
      <c r="H30" s="641">
        <f>+SUMIF('13.mell_ÖNKfeladatok2020'!$B$5:$B$158,'14.mell_Önk kiegészítés2020'!$A30,'13.mell_ÖNKfeladatok2020'!O$5:O$158)</f>
        <v>0</v>
      </c>
      <c r="I30" s="641">
        <f>+SUMIF('13.mell_ÖNKfeladatok2020'!$B$5:$B$158,'14.mell_Önk kiegészítés2020'!$A30,'13.mell_ÖNKfeladatok2020'!P$5:P$158)</f>
        <v>0</v>
      </c>
      <c r="J30" s="670">
        <f>SUM(C30:I30)</f>
        <v>0</v>
      </c>
      <c r="K30" s="629">
        <f>+SUMIF('13.mell_ÖNKfeladatok2020'!$B$166:$B$319,'14.mell_Önk kiegészítés2020'!$A30,'13.mell_ÖNKfeladatok2020'!I$166:I$319)</f>
        <v>0</v>
      </c>
      <c r="L30" s="629">
        <f>+SUMIF('13.mell_ÖNKfeladatok2020'!$B$166:$B$319,'14.mell_Önk kiegészítés2020'!$A30,'13.mell_ÖNKfeladatok2020'!J$166:J$319)</f>
        <v>0</v>
      </c>
      <c r="M30" s="629">
        <f>+SUMIF('13.mell_ÖNKfeladatok2020'!$B$166:$B$319,'14.mell_Önk kiegészítés2020'!$A30,'13.mell_ÖNKfeladatok2020'!K$166:K$319)</f>
        <v>0</v>
      </c>
      <c r="N30" s="629">
        <f>+SUMIF('13.mell_ÖNKfeladatok2020'!$B$166:$B$319,'14.mell_Önk kiegészítés2020'!$A30,'13.mell_ÖNKfeladatok2020'!L$166:L$319)</f>
        <v>0</v>
      </c>
      <c r="O30" s="629">
        <f>+SUMIF('13.mell_ÖNKfeladatok2020'!$B$166:$B$319,'14.mell_Önk kiegészítés2020'!$A30,'13.mell_ÖNKfeladatok2020'!M$166:M$319)</f>
        <v>0</v>
      </c>
      <c r="P30" s="629">
        <f>+SUMIF('13.mell_ÖNKfeladatok2020'!$B$166:$B$319,'14.mell_Önk kiegészítés2020'!$A30,'13.mell_ÖNKfeladatok2020'!O$166:O$319)</f>
        <v>0</v>
      </c>
      <c r="Q30" s="629">
        <f>+SUMIF('13.mell_ÖNKfeladatok2020'!$B$166:$B$319,'14.mell_Önk kiegészítés2020'!$A30,'13.mell_ÖNKfeladatok2020'!P$166:P$319)</f>
        <v>0</v>
      </c>
      <c r="R30" s="629">
        <f>+SUMIF('13.mell_ÖNKfeladatok2020'!$B$166:$B$319,'14.mell_Önk kiegészítés2020'!$A30,'13.mell_ÖNKfeladatok2020'!Q$166:Q$319)</f>
        <v>0</v>
      </c>
      <c r="S30" s="668">
        <f>SUM(K30:R30)</f>
        <v>0</v>
      </c>
      <c r="T30" s="630">
        <f>S30-J30</f>
        <v>0</v>
      </c>
      <c r="U30" s="1480">
        <f>+ROUND(SUMIF('10.mell_támogatások2020'!$B$6:$B$137,'14.mell_Önk kiegészítés2020'!$A30,'10.mell_támogatások2020'!D$6:D$137)/1000,0)</f>
        <v>0</v>
      </c>
      <c r="V30" s="1437"/>
      <c r="W30" s="630">
        <f>+T30-U30-V30</f>
        <v>0</v>
      </c>
    </row>
    <row r="31" spans="1:42" s="621" customFormat="1" ht="12.75" thickBot="1">
      <c r="A31" s="633" t="s">
        <v>746</v>
      </c>
      <c r="B31" s="634" t="s">
        <v>871</v>
      </c>
      <c r="C31" s="635">
        <f>SUM(C30)</f>
        <v>0</v>
      </c>
      <c r="D31" s="636">
        <f t="shared" ref="D31:W31" si="19">SUM(D30)</f>
        <v>0</v>
      </c>
      <c r="E31" s="636">
        <f t="shared" si="19"/>
        <v>0</v>
      </c>
      <c r="F31" s="636">
        <f t="shared" si="19"/>
        <v>0</v>
      </c>
      <c r="G31" s="636">
        <f t="shared" si="19"/>
        <v>0</v>
      </c>
      <c r="H31" s="636">
        <f t="shared" si="19"/>
        <v>0</v>
      </c>
      <c r="I31" s="639">
        <f t="shared" si="19"/>
        <v>0</v>
      </c>
      <c r="J31" s="638">
        <f t="shared" si="19"/>
        <v>0</v>
      </c>
      <c r="K31" s="635">
        <f t="shared" si="19"/>
        <v>0</v>
      </c>
      <c r="L31" s="635">
        <f t="shared" si="19"/>
        <v>0</v>
      </c>
      <c r="M31" s="635">
        <f t="shared" si="19"/>
        <v>0</v>
      </c>
      <c r="N31" s="635">
        <f t="shared" si="19"/>
        <v>0</v>
      </c>
      <c r="O31" s="635">
        <f t="shared" si="19"/>
        <v>0</v>
      </c>
      <c r="P31" s="635">
        <f t="shared" si="19"/>
        <v>0</v>
      </c>
      <c r="Q31" s="635">
        <f t="shared" si="19"/>
        <v>0</v>
      </c>
      <c r="R31" s="635">
        <f t="shared" si="19"/>
        <v>0</v>
      </c>
      <c r="S31" s="638">
        <f t="shared" si="19"/>
        <v>0</v>
      </c>
      <c r="T31" s="638">
        <f t="shared" si="19"/>
        <v>0</v>
      </c>
      <c r="U31" s="1481">
        <f t="shared" si="19"/>
        <v>0</v>
      </c>
      <c r="V31" s="639">
        <f t="shared" ref="V31" si="20">SUM(V30)</f>
        <v>0</v>
      </c>
      <c r="W31" s="638">
        <f t="shared" si="19"/>
        <v>0</v>
      </c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</row>
    <row r="32" spans="1:42" s="621" customFormat="1" ht="12.75" thickBot="1">
      <c r="A32" s="642" t="s">
        <v>22</v>
      </c>
      <c r="B32" s="643" t="s">
        <v>872</v>
      </c>
      <c r="C32" s="644">
        <f>+C25+C29+C31</f>
        <v>0</v>
      </c>
      <c r="D32" s="645">
        <f t="shared" ref="D32:W32" si="21">+D25+D29+D31</f>
        <v>0</v>
      </c>
      <c r="E32" s="645">
        <f t="shared" si="21"/>
        <v>41459</v>
      </c>
      <c r="F32" s="645">
        <f t="shared" si="21"/>
        <v>0</v>
      </c>
      <c r="G32" s="645">
        <f t="shared" si="21"/>
        <v>0</v>
      </c>
      <c r="H32" s="645">
        <f t="shared" si="21"/>
        <v>0</v>
      </c>
      <c r="I32" s="646">
        <f t="shared" si="21"/>
        <v>0</v>
      </c>
      <c r="J32" s="647">
        <f t="shared" si="21"/>
        <v>41459</v>
      </c>
      <c r="K32" s="644">
        <f t="shared" si="21"/>
        <v>288403</v>
      </c>
      <c r="L32" s="644">
        <f t="shared" si="21"/>
        <v>53891</v>
      </c>
      <c r="M32" s="644">
        <f t="shared" si="21"/>
        <v>60026</v>
      </c>
      <c r="N32" s="644">
        <f t="shared" si="21"/>
        <v>0</v>
      </c>
      <c r="O32" s="644">
        <f t="shared" si="21"/>
        <v>0</v>
      </c>
      <c r="P32" s="644">
        <f t="shared" si="21"/>
        <v>4000</v>
      </c>
      <c r="Q32" s="644">
        <f t="shared" si="21"/>
        <v>0</v>
      </c>
      <c r="R32" s="644">
        <f t="shared" si="21"/>
        <v>0</v>
      </c>
      <c r="S32" s="647">
        <f t="shared" si="21"/>
        <v>406320</v>
      </c>
      <c r="T32" s="647">
        <f t="shared" si="21"/>
        <v>364861</v>
      </c>
      <c r="U32" s="1483">
        <f t="shared" si="21"/>
        <v>145965</v>
      </c>
      <c r="V32" s="646">
        <f t="shared" ref="V32" si="22">+V25+V29+V31</f>
        <v>-40716</v>
      </c>
      <c r="W32" s="647">
        <f t="shared" si="21"/>
        <v>259612</v>
      </c>
      <c r="Y32" s="621">
        <f>+'13.mell_ÖNKfeladatok2020'!G110-J32</f>
        <v>0</v>
      </c>
      <c r="Z32" s="621">
        <f>+'13.mell_ÖNKfeladatok2020'!G271-S32</f>
        <v>0</v>
      </c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</row>
    <row r="33" spans="1:42" s="621" customFormat="1" ht="12.75" thickBot="1">
      <c r="A33" s="653"/>
      <c r="B33" s="654"/>
      <c r="C33" s="655"/>
      <c r="D33" s="655"/>
      <c r="E33" s="655"/>
      <c r="F33" s="655"/>
      <c r="G33" s="655"/>
      <c r="H33" s="655"/>
      <c r="I33" s="980"/>
      <c r="J33" s="658"/>
      <c r="K33" s="655"/>
      <c r="L33" s="655"/>
      <c r="M33" s="655"/>
      <c r="N33" s="655"/>
      <c r="O33" s="655"/>
      <c r="P33" s="655"/>
      <c r="Q33" s="655"/>
      <c r="R33" s="655"/>
      <c r="S33" s="658"/>
      <c r="T33" s="658"/>
      <c r="U33" s="980"/>
      <c r="V33" s="657"/>
      <c r="W33" s="658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</row>
    <row r="34" spans="1:42">
      <c r="A34" s="938">
        <f>+A30+1</f>
        <v>19</v>
      </c>
      <c r="B34" s="818" t="s">
        <v>1078</v>
      </c>
      <c r="C34" s="983">
        <f>+SUMIF('13.mell_ÖNKfeladatok2020'!$B$5:$B$158,'14.mell_Önk kiegészítés2020'!$A34,'13.mell_ÖNKfeladatok2020'!I$5:I$158)</f>
        <v>0</v>
      </c>
      <c r="D34" s="983">
        <f>+SUMIF('13.mell_ÖNKfeladatok2020'!$B$5:$B$158,'14.mell_Önk kiegészítés2020'!$A34,'13.mell_ÖNKfeladatok2020'!J$5:J$158)</f>
        <v>0</v>
      </c>
      <c r="E34" s="983">
        <f>+SUMIF('13.mell_ÖNKfeladatok2020'!$B$5:$B$158,'14.mell_Önk kiegészítés2020'!$A34,'13.mell_ÖNKfeladatok2020'!K$5:K$158)</f>
        <v>0</v>
      </c>
      <c r="F34" s="983">
        <f>+SUMIF('13.mell_ÖNKfeladatok2020'!$B$5:$B$158,'14.mell_Önk kiegészítés2020'!$A34,'13.mell_ÖNKfeladatok2020'!L$5:L$158)</f>
        <v>0</v>
      </c>
      <c r="G34" s="983">
        <f>+SUMIF('13.mell_ÖNKfeladatok2020'!$B$5:$B$158,'14.mell_Önk kiegészítés2020'!$A34,'13.mell_ÖNKfeladatok2020'!N$5:N$158)</f>
        <v>0</v>
      </c>
      <c r="H34" s="983">
        <f>+SUMIF('13.mell_ÖNKfeladatok2020'!$B$5:$B$158,'14.mell_Önk kiegészítés2020'!$A34,'13.mell_ÖNKfeladatok2020'!O$5:O$158)</f>
        <v>0</v>
      </c>
      <c r="I34" s="983">
        <f>+SUMIF('13.mell_ÖNKfeladatok2020'!$B$5:$B$158,'14.mell_Önk kiegészítés2020'!$A34,'13.mell_ÖNKfeladatok2020'!P$5:P$158)</f>
        <v>0</v>
      </c>
      <c r="J34" s="819">
        <f>SUM(C34:I34)</f>
        <v>0</v>
      </c>
      <c r="K34" s="983">
        <f>+SUMIF('13.mell_ÖNKfeladatok2020'!$B$166:$B$319,'14.mell_Önk kiegészítés2020'!$A34,'13.mell_ÖNKfeladatok2020'!I$166:I$319)</f>
        <v>219940</v>
      </c>
      <c r="L34" s="983">
        <f>+SUMIF('13.mell_ÖNKfeladatok2020'!$B$166:$B$319,'14.mell_Önk kiegészítés2020'!$A34,'13.mell_ÖNKfeladatok2020'!J$166:J$319)</f>
        <v>43809</v>
      </c>
      <c r="M34" s="983">
        <f>+SUMIF('13.mell_ÖNKfeladatok2020'!$B$166:$B$319,'14.mell_Önk kiegészítés2020'!$A34,'13.mell_ÖNKfeladatok2020'!K$166:K$319)</f>
        <v>25891</v>
      </c>
      <c r="N34" s="983">
        <f>+SUMIF('13.mell_ÖNKfeladatok2020'!$B$166:$B$319,'14.mell_Önk kiegészítés2020'!$A34,'13.mell_ÖNKfeladatok2020'!L$166:L$319)</f>
        <v>0</v>
      </c>
      <c r="O34" s="983">
        <f>+SUMIF('13.mell_ÖNKfeladatok2020'!$B$166:$B$319,'14.mell_Önk kiegészítés2020'!$A34,'13.mell_ÖNKfeladatok2020'!M$166:M$319)</f>
        <v>0</v>
      </c>
      <c r="P34" s="983">
        <f>+SUMIF('13.mell_ÖNKfeladatok2020'!$B$166:$B$319,'14.mell_Önk kiegészítés2020'!$A34,'13.mell_ÖNKfeladatok2020'!O$166:O$319)</f>
        <v>1100</v>
      </c>
      <c r="Q34" s="983">
        <f>+SUMIF('13.mell_ÖNKfeladatok2020'!$B$166:$B$319,'14.mell_Önk kiegészítés2020'!$A34,'13.mell_ÖNKfeladatok2020'!P$166:P$319)</f>
        <v>0</v>
      </c>
      <c r="R34" s="983">
        <f>+SUMIF('13.mell_ÖNKfeladatok2020'!$B$166:$B$319,'14.mell_Önk kiegészítés2020'!$A34,'13.mell_ÖNKfeladatok2020'!Q$166:Q$319)</f>
        <v>0</v>
      </c>
      <c r="S34" s="819">
        <f>SUM(K34:R34)</f>
        <v>290740</v>
      </c>
      <c r="T34" s="820">
        <f>S34-J34</f>
        <v>290740</v>
      </c>
      <c r="U34" s="1484">
        <f>+ROUND(SUMIF('10.mell_támogatások2020'!$B$6:$B$137,'14.mell_Önk kiegészítés2020'!$A34,'10.mell_támogatások2020'!D$6:D$137)/1000,0)</f>
        <v>238516</v>
      </c>
      <c r="V34" s="1439"/>
      <c r="W34" s="820">
        <f t="shared" ref="W34:W36" si="23">+T34-U34-V34</f>
        <v>52224</v>
      </c>
    </row>
    <row r="35" spans="1:42">
      <c r="A35" s="939">
        <f>+A34+1</f>
        <v>20</v>
      </c>
      <c r="B35" s="628" t="s">
        <v>1151</v>
      </c>
      <c r="C35" s="629">
        <f>+SUMIF('13.mell_ÖNKfeladatok2020'!$B$5:$B$158,'14.mell_Önk kiegészítés2020'!$A35,'13.mell_ÖNKfeladatok2020'!I$5:I$158)</f>
        <v>0</v>
      </c>
      <c r="D35" s="629">
        <f>+SUMIF('13.mell_ÖNKfeladatok2020'!$B$5:$B$158,'14.mell_Önk kiegészítés2020'!$A35,'13.mell_ÖNKfeladatok2020'!J$5:J$158)</f>
        <v>0</v>
      </c>
      <c r="E35" s="629">
        <f>+SUMIF('13.mell_ÖNKfeladatok2020'!$B$5:$B$158,'14.mell_Önk kiegészítés2020'!$A35,'13.mell_ÖNKfeladatok2020'!K$5:K$158)</f>
        <v>21571</v>
      </c>
      <c r="F35" s="629">
        <f>+SUMIF('13.mell_ÖNKfeladatok2020'!$B$5:$B$158,'14.mell_Önk kiegészítés2020'!$A35,'13.mell_ÖNKfeladatok2020'!L$5:L$158)</f>
        <v>0</v>
      </c>
      <c r="G35" s="629">
        <f>+SUMIF('13.mell_ÖNKfeladatok2020'!$B$5:$B$158,'14.mell_Önk kiegészítés2020'!$A35,'13.mell_ÖNKfeladatok2020'!N$5:N$158)</f>
        <v>0</v>
      </c>
      <c r="H35" s="629">
        <f>+SUMIF('13.mell_ÖNKfeladatok2020'!$B$5:$B$158,'14.mell_Önk kiegészítés2020'!$A35,'13.mell_ÖNKfeladatok2020'!O$5:O$158)</f>
        <v>0</v>
      </c>
      <c r="I35" s="629">
        <f>+SUMIF('13.mell_ÖNKfeladatok2020'!$B$5:$B$158,'14.mell_Önk kiegészítés2020'!$A35,'13.mell_ÖNKfeladatok2020'!P$5:P$158)</f>
        <v>0</v>
      </c>
      <c r="J35" s="668">
        <f>SUM(C35:I35)</f>
        <v>21571</v>
      </c>
      <c r="K35" s="629">
        <f>+SUMIF('13.mell_ÖNKfeladatok2020'!$B$166:$B$319,'14.mell_Önk kiegészítés2020'!$A35,'13.mell_ÖNKfeladatok2020'!I$166:I$319)</f>
        <v>0</v>
      </c>
      <c r="L35" s="629">
        <f>+SUMIF('13.mell_ÖNKfeladatok2020'!$B$166:$B$319,'14.mell_Önk kiegészítés2020'!$A35,'13.mell_ÖNKfeladatok2020'!J$166:J$319)</f>
        <v>0</v>
      </c>
      <c r="M35" s="629">
        <f>+SUMIF('13.mell_ÖNKfeladatok2020'!$B$166:$B$319,'14.mell_Önk kiegészítés2020'!$A35,'13.mell_ÖNKfeladatok2020'!K$166:K$319)</f>
        <v>93915</v>
      </c>
      <c r="N35" s="629">
        <f>+SUMIF('13.mell_ÖNKfeladatok2020'!$B$166:$B$319,'14.mell_Önk kiegészítés2020'!$A35,'13.mell_ÖNKfeladatok2020'!L$166:L$319)</f>
        <v>0</v>
      </c>
      <c r="O35" s="629">
        <f>+SUMIF('13.mell_ÖNKfeladatok2020'!$B$166:$B$319,'14.mell_Önk kiegészítés2020'!$A35,'13.mell_ÖNKfeladatok2020'!M$166:M$319)</f>
        <v>0</v>
      </c>
      <c r="P35" s="629">
        <f>+SUMIF('13.mell_ÖNKfeladatok2020'!$B$166:$B$319,'14.mell_Önk kiegészítés2020'!$A35,'13.mell_ÖNKfeladatok2020'!O$166:O$319)</f>
        <v>0</v>
      </c>
      <c r="Q35" s="629">
        <f>+SUMIF('13.mell_ÖNKfeladatok2020'!$B$166:$B$319,'14.mell_Önk kiegészítés2020'!$A35,'13.mell_ÖNKfeladatok2020'!P$166:P$319)</f>
        <v>0</v>
      </c>
      <c r="R35" s="629">
        <f>+SUMIF('13.mell_ÖNKfeladatok2020'!$B$166:$B$319,'14.mell_Önk kiegészítés2020'!$A35,'13.mell_ÖNKfeladatok2020'!Q$166:Q$319)</f>
        <v>0</v>
      </c>
      <c r="S35" s="668">
        <f>SUM(K35:R35)</f>
        <v>93915</v>
      </c>
      <c r="T35" s="630">
        <f>S35-J35</f>
        <v>72344</v>
      </c>
      <c r="U35" s="1480">
        <f>+ROUND(SUMIF('10.mell_támogatások2020'!$B$6:$B$137,'14.mell_Önk kiegészítés2020'!$A35,'10.mell_támogatások2020'!D$6:D$137)/1000,0)</f>
        <v>67762</v>
      </c>
      <c r="V35" s="1437">
        <v>1592</v>
      </c>
      <c r="W35" s="630">
        <f t="shared" si="23"/>
        <v>2990</v>
      </c>
      <c r="AI35" s="296">
        <v>1592</v>
      </c>
    </row>
    <row r="36" spans="1:42" ht="12.75" thickBot="1">
      <c r="A36" s="981">
        <f>+A35+1</f>
        <v>21</v>
      </c>
      <c r="B36" s="640" t="s">
        <v>1144</v>
      </c>
      <c r="C36" s="641">
        <f>+SUMIF('13.mell_ÖNKfeladatok2020'!$B$5:$B$158,'14.mell_Önk kiegészítés2020'!$A36,'13.mell_ÖNKfeladatok2020'!I$5:I$158)</f>
        <v>0</v>
      </c>
      <c r="D36" s="641">
        <f>+SUMIF('13.mell_ÖNKfeladatok2020'!$B$5:$B$158,'14.mell_Önk kiegészítés2020'!$A36,'13.mell_ÖNKfeladatok2020'!J$5:J$158)</f>
        <v>0</v>
      </c>
      <c r="E36" s="641">
        <f>+SUMIF('13.mell_ÖNKfeladatok2020'!$B$5:$B$158,'14.mell_Önk kiegészítés2020'!$A36,'13.mell_ÖNKfeladatok2020'!K$5:K$158)</f>
        <v>0</v>
      </c>
      <c r="F36" s="641">
        <f>+SUMIF('13.mell_ÖNKfeladatok2020'!$B$5:$B$158,'14.mell_Önk kiegészítés2020'!$A36,'13.mell_ÖNKfeladatok2020'!L$5:L$158)</f>
        <v>0</v>
      </c>
      <c r="G36" s="641">
        <f>+SUMIF('13.mell_ÖNKfeladatok2020'!$B$5:$B$158,'14.mell_Önk kiegészítés2020'!$A36,'13.mell_ÖNKfeladatok2020'!N$5:N$158)</f>
        <v>0</v>
      </c>
      <c r="H36" s="641">
        <f>+SUMIF('13.mell_ÖNKfeladatok2020'!$B$5:$B$158,'14.mell_Önk kiegészítés2020'!$A36,'13.mell_ÖNKfeladatok2020'!O$5:O$158)</f>
        <v>0</v>
      </c>
      <c r="I36" s="641">
        <f>+SUMIF('13.mell_ÖNKfeladatok2020'!$B$5:$B$158,'14.mell_Önk kiegészítés2020'!$A36,'13.mell_ÖNKfeladatok2020'!P$5:P$158)</f>
        <v>0</v>
      </c>
      <c r="J36" s="670">
        <f>SUM(C36:I36)</f>
        <v>0</v>
      </c>
      <c r="K36" s="626">
        <f>+SUMIF('13.mell_ÖNKfeladatok2020'!$B$166:$B$319,'14.mell_Önk kiegészítés2020'!$A36,'13.mell_ÖNKfeladatok2020'!I$166:I$319)</f>
        <v>33994</v>
      </c>
      <c r="L36" s="626">
        <f>+SUMIF('13.mell_ÖNKfeladatok2020'!$B$166:$B$319,'14.mell_Önk kiegészítés2020'!$A36,'13.mell_ÖNKfeladatok2020'!J$166:J$319)</f>
        <v>5975</v>
      </c>
      <c r="M36" s="626">
        <f>+SUMIF('13.mell_ÖNKfeladatok2020'!$B$166:$B$319,'14.mell_Önk kiegészítés2020'!$A36,'13.mell_ÖNKfeladatok2020'!K$166:K$319)</f>
        <v>4693</v>
      </c>
      <c r="N36" s="626">
        <f>+SUMIF('13.mell_ÖNKfeladatok2020'!$B$166:$B$319,'14.mell_Önk kiegészítés2020'!$A36,'13.mell_ÖNKfeladatok2020'!L$166:L$319)</f>
        <v>0</v>
      </c>
      <c r="O36" s="626">
        <f>+SUMIF('13.mell_ÖNKfeladatok2020'!$B$166:$B$319,'14.mell_Önk kiegészítés2020'!$A36,'13.mell_ÖNKfeladatok2020'!M$166:M$319)</f>
        <v>0</v>
      </c>
      <c r="P36" s="626">
        <f>+SUMIF('13.mell_ÖNKfeladatok2020'!$B$166:$B$319,'14.mell_Önk kiegészítés2020'!$A36,'13.mell_ÖNKfeladatok2020'!O$166:O$319)</f>
        <v>0</v>
      </c>
      <c r="Q36" s="626">
        <f>+SUMIF('13.mell_ÖNKfeladatok2020'!$B$166:$B$319,'14.mell_Önk kiegészítés2020'!$A36,'13.mell_ÖNKfeladatok2020'!P$166:P$319)</f>
        <v>0</v>
      </c>
      <c r="R36" s="626">
        <f>+SUMIF('13.mell_ÖNKfeladatok2020'!$B$166:$B$319,'14.mell_Önk kiegészítés2020'!$A36,'13.mell_ÖNKfeladatok2020'!Q$166:Q$319)</f>
        <v>0</v>
      </c>
      <c r="S36" s="667">
        <f>SUM(K36:R36)</f>
        <v>44662</v>
      </c>
      <c r="T36" s="627">
        <f>S36-J36</f>
        <v>44662</v>
      </c>
      <c r="U36" s="1479">
        <f>+ROUND(SUMIF('10.mell_támogatások2020'!$B$6:$B$137,'14.mell_Önk kiegészítés2020'!$A36,'10.mell_támogatások2020'!D$6:D$137)/1000,0)</f>
        <v>23730</v>
      </c>
      <c r="V36" s="1436"/>
      <c r="W36" s="627">
        <f t="shared" si="23"/>
        <v>20932</v>
      </c>
    </row>
    <row r="37" spans="1:42" s="621" customFormat="1" ht="12.75" thickBot="1">
      <c r="A37" s="392" t="s">
        <v>747</v>
      </c>
      <c r="B37" s="565" t="s">
        <v>417</v>
      </c>
      <c r="C37" s="635">
        <f>SUM(C34:C36)</f>
        <v>0</v>
      </c>
      <c r="D37" s="635">
        <f t="shared" ref="D37:W37" si="24">SUM(D34:D36)</f>
        <v>0</v>
      </c>
      <c r="E37" s="635">
        <f t="shared" si="24"/>
        <v>21571</v>
      </c>
      <c r="F37" s="635">
        <f t="shared" si="24"/>
        <v>0</v>
      </c>
      <c r="G37" s="635">
        <f t="shared" si="24"/>
        <v>0</v>
      </c>
      <c r="H37" s="635">
        <f t="shared" si="24"/>
        <v>0</v>
      </c>
      <c r="I37" s="635">
        <f t="shared" si="24"/>
        <v>0</v>
      </c>
      <c r="J37" s="638">
        <f t="shared" si="24"/>
        <v>21571</v>
      </c>
      <c r="K37" s="635">
        <f t="shared" si="24"/>
        <v>253934</v>
      </c>
      <c r="L37" s="635">
        <f t="shared" si="24"/>
        <v>49784</v>
      </c>
      <c r="M37" s="635">
        <f t="shared" si="24"/>
        <v>124499</v>
      </c>
      <c r="N37" s="635">
        <f t="shared" si="24"/>
        <v>0</v>
      </c>
      <c r="O37" s="635">
        <f t="shared" si="24"/>
        <v>0</v>
      </c>
      <c r="P37" s="635">
        <f t="shared" si="24"/>
        <v>1100</v>
      </c>
      <c r="Q37" s="635">
        <f t="shared" si="24"/>
        <v>0</v>
      </c>
      <c r="R37" s="635">
        <f t="shared" si="24"/>
        <v>0</v>
      </c>
      <c r="S37" s="638">
        <f t="shared" si="24"/>
        <v>429317</v>
      </c>
      <c r="T37" s="638">
        <f t="shared" si="24"/>
        <v>407746</v>
      </c>
      <c r="U37" s="1481">
        <f t="shared" si="24"/>
        <v>330008</v>
      </c>
      <c r="V37" s="639">
        <f t="shared" ref="V37" si="25">SUM(V34:V36)</f>
        <v>1592</v>
      </c>
      <c r="W37" s="638">
        <f t="shared" si="24"/>
        <v>76146</v>
      </c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</row>
    <row r="38" spans="1:42" ht="12.75" thickBot="1">
      <c r="A38" s="984">
        <f>+A36+1</f>
        <v>22</v>
      </c>
      <c r="B38" s="640" t="s">
        <v>418</v>
      </c>
      <c r="C38" s="641">
        <f>+SUMIF('13.mell_ÖNKfeladatok2020'!$B$5:$B$158,'14.mell_Önk kiegészítés2020'!$A38,'13.mell_ÖNKfeladatok2020'!I$5:I$158)</f>
        <v>0</v>
      </c>
      <c r="D38" s="641">
        <f>+SUMIF('13.mell_ÖNKfeladatok2020'!$B$5:$B$158,'14.mell_Önk kiegészítés2020'!$A38,'13.mell_ÖNKfeladatok2020'!J$5:J$158)</f>
        <v>0</v>
      </c>
      <c r="E38" s="641">
        <f>+SUMIF('13.mell_ÖNKfeladatok2020'!$B$5:$B$158,'14.mell_Önk kiegészítés2020'!$A38,'13.mell_ÖNKfeladatok2020'!K$5:K$158)</f>
        <v>0</v>
      </c>
      <c r="F38" s="641">
        <f>+SUMIF('13.mell_ÖNKfeladatok2020'!$B$5:$B$158,'14.mell_Önk kiegészítés2020'!$A38,'13.mell_ÖNKfeladatok2020'!L$5:L$158)</f>
        <v>0</v>
      </c>
      <c r="G38" s="641">
        <f>+SUMIF('13.mell_ÖNKfeladatok2020'!$B$5:$B$158,'14.mell_Önk kiegészítés2020'!$A38,'13.mell_ÖNKfeladatok2020'!N$5:N$158)</f>
        <v>0</v>
      </c>
      <c r="H38" s="641">
        <f>+SUMIF('13.mell_ÖNKfeladatok2020'!$B$5:$B$158,'14.mell_Önk kiegészítés2020'!$A38,'13.mell_ÖNKfeladatok2020'!O$5:O$158)</f>
        <v>0</v>
      </c>
      <c r="I38" s="641">
        <f>+SUMIF('13.mell_ÖNKfeladatok2020'!$B$5:$B$158,'14.mell_Önk kiegészítés2020'!$A38,'13.mell_ÖNKfeladatok2020'!P$5:P$158)</f>
        <v>0</v>
      </c>
      <c r="J38" s="670">
        <f>SUM(C38:I38)</f>
        <v>0</v>
      </c>
      <c r="K38" s="632">
        <f>+SUMIF('13.mell_ÖNKfeladatok2020'!$B$166:$B$319,'14.mell_Önk kiegészítés2020'!$A38,'13.mell_ÖNKfeladatok2020'!I$166:I$319)</f>
        <v>0</v>
      </c>
      <c r="L38" s="632">
        <f>+SUMIF('13.mell_ÖNKfeladatok2020'!$B$166:$B$319,'14.mell_Önk kiegészítés2020'!$A38,'13.mell_ÖNKfeladatok2020'!J$166:J$319)</f>
        <v>0</v>
      </c>
      <c r="M38" s="632">
        <f>+SUMIF('13.mell_ÖNKfeladatok2020'!$B$166:$B$319,'14.mell_Önk kiegészítés2020'!$A38,'13.mell_ÖNKfeladatok2020'!K$166:K$319)</f>
        <v>0</v>
      </c>
      <c r="N38" s="632">
        <f>+SUMIF('13.mell_ÖNKfeladatok2020'!$B$166:$B$319,'14.mell_Önk kiegészítés2020'!$A38,'13.mell_ÖNKfeladatok2020'!L$166:L$319)</f>
        <v>0</v>
      </c>
      <c r="O38" s="632">
        <f>+SUMIF('13.mell_ÖNKfeladatok2020'!$B$166:$B$319,'14.mell_Önk kiegészítés2020'!$A38,'13.mell_ÖNKfeladatok2020'!M$166:M$319)</f>
        <v>0</v>
      </c>
      <c r="P38" s="632">
        <f>+SUMIF('13.mell_ÖNKfeladatok2020'!$B$166:$B$319,'14.mell_Önk kiegészítés2020'!$A38,'13.mell_ÖNKfeladatok2020'!O$166:O$319)</f>
        <v>0</v>
      </c>
      <c r="Q38" s="632">
        <f>+SUMIF('13.mell_ÖNKfeladatok2020'!$B$166:$B$319,'14.mell_Önk kiegészítés2020'!$A38,'13.mell_ÖNKfeladatok2020'!P$166:P$319)</f>
        <v>0</v>
      </c>
      <c r="R38" s="632">
        <f>+SUMIF('13.mell_ÖNKfeladatok2020'!$B$166:$B$319,'14.mell_Önk kiegészítés2020'!$A38,'13.mell_ÖNKfeladatok2020'!Q$166:Q$319)</f>
        <v>0</v>
      </c>
      <c r="S38" s="669">
        <f>SUM(K38:R38)</f>
        <v>0</v>
      </c>
      <c r="T38" s="985">
        <f>S38-J38</f>
        <v>0</v>
      </c>
      <c r="U38" s="1485">
        <f>+ROUND(SUMIF('10.mell_támogatások2020'!$B$6:$B$137,'14.mell_Önk kiegészítés2020'!$A38,'10.mell_támogatások2020'!D$6:D$137)/1000,0)</f>
        <v>0</v>
      </c>
      <c r="V38" s="1440"/>
      <c r="W38" s="985">
        <f>+T38-U38-V38</f>
        <v>0</v>
      </c>
    </row>
    <row r="39" spans="1:42" s="621" customFormat="1" ht="12.75" thickBot="1">
      <c r="A39" s="392" t="s">
        <v>748</v>
      </c>
      <c r="B39" s="565" t="s">
        <v>418</v>
      </c>
      <c r="C39" s="635">
        <f>SUM(C38)</f>
        <v>0</v>
      </c>
      <c r="D39" s="635">
        <f t="shared" ref="D39:W39" si="26">SUM(D38)</f>
        <v>0</v>
      </c>
      <c r="E39" s="635">
        <f t="shared" si="26"/>
        <v>0</v>
      </c>
      <c r="F39" s="635">
        <f t="shared" si="26"/>
        <v>0</v>
      </c>
      <c r="G39" s="635">
        <f t="shared" si="26"/>
        <v>0</v>
      </c>
      <c r="H39" s="635">
        <f t="shared" si="26"/>
        <v>0</v>
      </c>
      <c r="I39" s="635">
        <f t="shared" si="26"/>
        <v>0</v>
      </c>
      <c r="J39" s="638">
        <f t="shared" si="26"/>
        <v>0</v>
      </c>
      <c r="K39" s="635">
        <f t="shared" si="26"/>
        <v>0</v>
      </c>
      <c r="L39" s="635">
        <f t="shared" si="26"/>
        <v>0</v>
      </c>
      <c r="M39" s="635">
        <f t="shared" si="26"/>
        <v>0</v>
      </c>
      <c r="N39" s="635">
        <f t="shared" si="26"/>
        <v>0</v>
      </c>
      <c r="O39" s="635">
        <f t="shared" si="26"/>
        <v>0</v>
      </c>
      <c r="P39" s="635">
        <f t="shared" si="26"/>
        <v>0</v>
      </c>
      <c r="Q39" s="635">
        <f t="shared" si="26"/>
        <v>0</v>
      </c>
      <c r="R39" s="635">
        <f t="shared" si="26"/>
        <v>0</v>
      </c>
      <c r="S39" s="638">
        <f t="shared" si="26"/>
        <v>0</v>
      </c>
      <c r="T39" s="638">
        <f t="shared" si="26"/>
        <v>0</v>
      </c>
      <c r="U39" s="1481">
        <f t="shared" si="26"/>
        <v>0</v>
      </c>
      <c r="V39" s="639">
        <f t="shared" ref="V39" si="27">SUM(V38)</f>
        <v>0</v>
      </c>
      <c r="W39" s="638">
        <f t="shared" si="26"/>
        <v>0</v>
      </c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</row>
    <row r="40" spans="1:42" ht="12.75" thickBot="1">
      <c r="A40" s="984">
        <f>+A38+1</f>
        <v>23</v>
      </c>
      <c r="B40" s="640" t="s">
        <v>766</v>
      </c>
      <c r="C40" s="641">
        <f>+SUMIF('13.mell_ÖNKfeladatok2020'!$B$5:$B$158,'14.mell_Önk kiegészítés2020'!$A40,'13.mell_ÖNKfeladatok2020'!I$5:I$158)</f>
        <v>0</v>
      </c>
      <c r="D40" s="641">
        <f>+SUMIF('13.mell_ÖNKfeladatok2020'!$B$5:$B$158,'14.mell_Önk kiegészítés2020'!$A40,'13.mell_ÖNKfeladatok2020'!J$5:J$158)</f>
        <v>0</v>
      </c>
      <c r="E40" s="641">
        <f>+SUMIF('13.mell_ÖNKfeladatok2020'!$B$5:$B$158,'14.mell_Önk kiegészítés2020'!$A40,'13.mell_ÖNKfeladatok2020'!K$5:K$158)</f>
        <v>0</v>
      </c>
      <c r="F40" s="641">
        <f>+SUMIF('13.mell_ÖNKfeladatok2020'!$B$5:$B$158,'14.mell_Önk kiegészítés2020'!$A40,'13.mell_ÖNKfeladatok2020'!L$5:L$158)</f>
        <v>0</v>
      </c>
      <c r="G40" s="641">
        <f>+SUMIF('13.mell_ÖNKfeladatok2020'!$B$5:$B$158,'14.mell_Önk kiegészítés2020'!$A40,'13.mell_ÖNKfeladatok2020'!N$5:N$158)</f>
        <v>0</v>
      </c>
      <c r="H40" s="641">
        <f>+SUMIF('13.mell_ÖNKfeladatok2020'!$B$5:$B$158,'14.mell_Önk kiegészítés2020'!$A40,'13.mell_ÖNKfeladatok2020'!O$5:O$158)</f>
        <v>0</v>
      </c>
      <c r="I40" s="641">
        <f>+SUMIF('13.mell_ÖNKfeladatok2020'!$B$5:$B$158,'14.mell_Önk kiegészítés2020'!$A40,'13.mell_ÖNKfeladatok2020'!P$5:P$158)</f>
        <v>0</v>
      </c>
      <c r="J40" s="670">
        <f>SUM(C40:I40)</f>
        <v>0</v>
      </c>
      <c r="K40" s="632">
        <f>+SUMIF('13.mell_ÖNKfeladatok2020'!$B$166:$B$319,'14.mell_Önk kiegészítés2020'!$A40,'13.mell_ÖNKfeladatok2020'!I$166:I$319)</f>
        <v>0</v>
      </c>
      <c r="L40" s="632">
        <f>+SUMIF('13.mell_ÖNKfeladatok2020'!$B$166:$B$319,'14.mell_Önk kiegészítés2020'!$A40,'13.mell_ÖNKfeladatok2020'!J$166:J$319)</f>
        <v>0</v>
      </c>
      <c r="M40" s="632">
        <f>+SUMIF('13.mell_ÖNKfeladatok2020'!$B$166:$B$319,'14.mell_Önk kiegészítés2020'!$A40,'13.mell_ÖNKfeladatok2020'!K$166:K$319)</f>
        <v>0</v>
      </c>
      <c r="N40" s="632">
        <f>+SUMIF('13.mell_ÖNKfeladatok2020'!$B$166:$B$319,'14.mell_Önk kiegészítés2020'!$A40,'13.mell_ÖNKfeladatok2020'!L$166:L$319)</f>
        <v>0</v>
      </c>
      <c r="O40" s="632">
        <f>+SUMIF('13.mell_ÖNKfeladatok2020'!$B$166:$B$319,'14.mell_Önk kiegészítés2020'!$A40,'13.mell_ÖNKfeladatok2020'!M$166:M$319)</f>
        <v>0</v>
      </c>
      <c r="P40" s="632">
        <f>+SUMIF('13.mell_ÖNKfeladatok2020'!$B$166:$B$319,'14.mell_Önk kiegészítés2020'!$A40,'13.mell_ÖNKfeladatok2020'!O$166:O$319)</f>
        <v>0</v>
      </c>
      <c r="Q40" s="632">
        <f>+SUMIF('13.mell_ÖNKfeladatok2020'!$B$166:$B$319,'14.mell_Önk kiegészítés2020'!$A40,'13.mell_ÖNKfeladatok2020'!P$166:P$319)</f>
        <v>0</v>
      </c>
      <c r="R40" s="632">
        <f>+SUMIF('13.mell_ÖNKfeladatok2020'!$B$166:$B$319,'14.mell_Önk kiegészítés2020'!$A40,'13.mell_ÖNKfeladatok2020'!Q$166:Q$319)</f>
        <v>0</v>
      </c>
      <c r="S40" s="669">
        <f>SUM(K40:R40)</f>
        <v>0</v>
      </c>
      <c r="T40" s="985">
        <f>S40-J40</f>
        <v>0</v>
      </c>
      <c r="U40" s="1485">
        <f>+ROUND(SUMIF('10.mell_támogatások2020'!$B$6:$B$137,'14.mell_Önk kiegészítés2020'!$A40,'10.mell_támogatások2020'!D$6:D$137)/1000,0)</f>
        <v>0</v>
      </c>
      <c r="V40" s="1440"/>
      <c r="W40" s="985">
        <f>+T40-U40-V40</f>
        <v>0</v>
      </c>
    </row>
    <row r="41" spans="1:42" s="621" customFormat="1" ht="12.75" thickBot="1">
      <c r="A41" s="392" t="s">
        <v>749</v>
      </c>
      <c r="B41" s="565" t="s">
        <v>766</v>
      </c>
      <c r="C41" s="635">
        <f>SUM(C40)</f>
        <v>0</v>
      </c>
      <c r="D41" s="635">
        <f t="shared" ref="D41:W41" si="28">SUM(D40)</f>
        <v>0</v>
      </c>
      <c r="E41" s="635">
        <f t="shared" si="28"/>
        <v>0</v>
      </c>
      <c r="F41" s="635">
        <f t="shared" si="28"/>
        <v>0</v>
      </c>
      <c r="G41" s="635">
        <f t="shared" si="28"/>
        <v>0</v>
      </c>
      <c r="H41" s="635">
        <f t="shared" si="28"/>
        <v>0</v>
      </c>
      <c r="I41" s="635">
        <f t="shared" si="28"/>
        <v>0</v>
      </c>
      <c r="J41" s="638">
        <f t="shared" si="28"/>
        <v>0</v>
      </c>
      <c r="K41" s="635">
        <f t="shared" si="28"/>
        <v>0</v>
      </c>
      <c r="L41" s="635">
        <f t="shared" si="28"/>
        <v>0</v>
      </c>
      <c r="M41" s="635">
        <f t="shared" si="28"/>
        <v>0</v>
      </c>
      <c r="N41" s="635">
        <f t="shared" si="28"/>
        <v>0</v>
      </c>
      <c r="O41" s="635">
        <f t="shared" si="28"/>
        <v>0</v>
      </c>
      <c r="P41" s="635">
        <f t="shared" si="28"/>
        <v>0</v>
      </c>
      <c r="Q41" s="635">
        <f t="shared" si="28"/>
        <v>0</v>
      </c>
      <c r="R41" s="635">
        <f t="shared" si="28"/>
        <v>0</v>
      </c>
      <c r="S41" s="638">
        <f t="shared" si="28"/>
        <v>0</v>
      </c>
      <c r="T41" s="638">
        <f t="shared" si="28"/>
        <v>0</v>
      </c>
      <c r="U41" s="1481">
        <f t="shared" si="28"/>
        <v>0</v>
      </c>
      <c r="V41" s="639">
        <f t="shared" ref="V41" si="29">SUM(V40)</f>
        <v>0</v>
      </c>
      <c r="W41" s="638">
        <f t="shared" si="28"/>
        <v>0</v>
      </c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</row>
    <row r="42" spans="1:42" s="621" customFormat="1" ht="12.75" thickBot="1">
      <c r="A42" s="568" t="s">
        <v>21</v>
      </c>
      <c r="B42" s="585" t="s">
        <v>419</v>
      </c>
      <c r="C42" s="644">
        <f>+C37+C39+C41</f>
        <v>0</v>
      </c>
      <c r="D42" s="645">
        <f t="shared" ref="D42:W42" si="30">+D37+D39+D41</f>
        <v>0</v>
      </c>
      <c r="E42" s="645">
        <f t="shared" si="30"/>
        <v>21571</v>
      </c>
      <c r="F42" s="645">
        <f t="shared" si="30"/>
        <v>0</v>
      </c>
      <c r="G42" s="645">
        <f t="shared" si="30"/>
        <v>0</v>
      </c>
      <c r="H42" s="645">
        <f t="shared" si="30"/>
        <v>0</v>
      </c>
      <c r="I42" s="646">
        <f t="shared" si="30"/>
        <v>0</v>
      </c>
      <c r="J42" s="647">
        <f t="shared" si="30"/>
        <v>21571</v>
      </c>
      <c r="K42" s="644">
        <f t="shared" si="30"/>
        <v>253934</v>
      </c>
      <c r="L42" s="644">
        <f t="shared" si="30"/>
        <v>49784</v>
      </c>
      <c r="M42" s="644">
        <f t="shared" si="30"/>
        <v>124499</v>
      </c>
      <c r="N42" s="644">
        <f t="shared" si="30"/>
        <v>0</v>
      </c>
      <c r="O42" s="644">
        <f t="shared" si="30"/>
        <v>0</v>
      </c>
      <c r="P42" s="644">
        <f t="shared" si="30"/>
        <v>1100</v>
      </c>
      <c r="Q42" s="644">
        <f t="shared" si="30"/>
        <v>0</v>
      </c>
      <c r="R42" s="644">
        <f t="shared" si="30"/>
        <v>0</v>
      </c>
      <c r="S42" s="647">
        <f t="shared" si="30"/>
        <v>429317</v>
      </c>
      <c r="T42" s="647">
        <f t="shared" si="30"/>
        <v>407746</v>
      </c>
      <c r="U42" s="1483">
        <f t="shared" si="30"/>
        <v>330008</v>
      </c>
      <c r="V42" s="646">
        <f t="shared" ref="V42" si="31">+V37+V39+V41</f>
        <v>1592</v>
      </c>
      <c r="W42" s="647">
        <f t="shared" si="30"/>
        <v>76146</v>
      </c>
      <c r="Y42" s="621">
        <f>+'13.mell_ÖNKfeladatok2020'!G123-J42</f>
        <v>0</v>
      </c>
      <c r="Z42" s="621">
        <f>+'13.mell_ÖNKfeladatok2020'!G284-S42</f>
        <v>0</v>
      </c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</row>
    <row r="43" spans="1:42" s="224" customFormat="1" ht="12.75" thickBot="1">
      <c r="A43" s="392"/>
      <c r="B43" s="565"/>
      <c r="C43" s="655"/>
      <c r="D43" s="656"/>
      <c r="E43" s="656"/>
      <c r="F43" s="656"/>
      <c r="G43" s="656"/>
      <c r="H43" s="656"/>
      <c r="I43" s="657"/>
      <c r="J43" s="658"/>
      <c r="K43" s="655"/>
      <c r="L43" s="655"/>
      <c r="M43" s="655"/>
      <c r="N43" s="655"/>
      <c r="O43" s="655"/>
      <c r="P43" s="655"/>
      <c r="Q43" s="655"/>
      <c r="R43" s="655"/>
      <c r="S43" s="658"/>
      <c r="T43" s="658"/>
      <c r="U43" s="980"/>
      <c r="V43" s="657"/>
      <c r="W43" s="658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</row>
    <row r="44" spans="1:42">
      <c r="A44" s="938">
        <f>+A40+1</f>
        <v>24</v>
      </c>
      <c r="B44" s="818" t="s">
        <v>1088</v>
      </c>
      <c r="C44" s="983">
        <f>+SUMIF('13.mell_ÖNKfeladatok2020'!$B$5:$B$158,'14.mell_Önk kiegészítés2020'!$A44,'13.mell_ÖNKfeladatok2020'!I$5:I$158)</f>
        <v>0</v>
      </c>
      <c r="D44" s="983">
        <f>+SUMIF('13.mell_ÖNKfeladatok2020'!$B$5:$B$158,'14.mell_Önk kiegészítés2020'!$A44,'13.mell_ÖNKfeladatok2020'!J$5:J$158)</f>
        <v>0</v>
      </c>
      <c r="E44" s="983">
        <f>+SUMIF('13.mell_ÖNKfeladatok2020'!$B$5:$B$158,'14.mell_Önk kiegészítés2020'!$A44,'13.mell_ÖNKfeladatok2020'!K$5:K$158)</f>
        <v>0</v>
      </c>
      <c r="F44" s="983">
        <f>+SUMIF('13.mell_ÖNKfeladatok2020'!$B$5:$B$158,'14.mell_Önk kiegészítés2020'!$A44,'13.mell_ÖNKfeladatok2020'!L$5:L$158)</f>
        <v>0</v>
      </c>
      <c r="G44" s="983">
        <f>+SUMIF('13.mell_ÖNKfeladatok2020'!$B$5:$B$158,'14.mell_Önk kiegészítés2020'!$A44,'13.mell_ÖNKfeladatok2020'!N$5:N$158)</f>
        <v>0</v>
      </c>
      <c r="H44" s="983">
        <f>+SUMIF('13.mell_ÖNKfeladatok2020'!$B$5:$B$158,'14.mell_Önk kiegészítés2020'!$A44,'13.mell_ÖNKfeladatok2020'!O$5:O$158)</f>
        <v>0</v>
      </c>
      <c r="I44" s="983">
        <f>+SUMIF('13.mell_ÖNKfeladatok2020'!$B$5:$B$158,'14.mell_Önk kiegészítés2020'!$A44,'13.mell_ÖNKfeladatok2020'!P$5:P$158)</f>
        <v>0</v>
      </c>
      <c r="J44" s="819">
        <f>SUM(C44:I44)</f>
        <v>0</v>
      </c>
      <c r="K44" s="983">
        <f>+SUMIF('13.mell_ÖNKfeladatok2020'!$B$166:$B$319,'14.mell_Önk kiegészítés2020'!$A44,'13.mell_ÖNKfeladatok2020'!I$166:I$319)</f>
        <v>0</v>
      </c>
      <c r="L44" s="983">
        <f>+SUMIF('13.mell_ÖNKfeladatok2020'!$B$166:$B$319,'14.mell_Önk kiegészítés2020'!$A44,'13.mell_ÖNKfeladatok2020'!J$166:J$319)</f>
        <v>0</v>
      </c>
      <c r="M44" s="983">
        <f>+SUMIF('13.mell_ÖNKfeladatok2020'!$B$166:$B$319,'14.mell_Önk kiegészítés2020'!$A44,'13.mell_ÖNKfeladatok2020'!K$166:K$319)</f>
        <v>1365</v>
      </c>
      <c r="N44" s="983">
        <f>+SUMIF('13.mell_ÖNKfeladatok2020'!$B$166:$B$319,'14.mell_Önk kiegészítés2020'!$A44,'13.mell_ÖNKfeladatok2020'!L$166:L$319)</f>
        <v>0</v>
      </c>
      <c r="O44" s="983">
        <f>+SUMIF('13.mell_ÖNKfeladatok2020'!$B$166:$B$319,'14.mell_Önk kiegészítés2020'!$A44,'13.mell_ÖNKfeladatok2020'!M$166:M$319)</f>
        <v>0</v>
      </c>
      <c r="P44" s="983">
        <f>+SUMIF('13.mell_ÖNKfeladatok2020'!$B$166:$B$319,'14.mell_Önk kiegészítés2020'!$A44,'13.mell_ÖNKfeladatok2020'!O$166:O$319)</f>
        <v>0</v>
      </c>
      <c r="Q44" s="983">
        <f>+SUMIF('13.mell_ÖNKfeladatok2020'!$B$166:$B$319,'14.mell_Önk kiegészítés2020'!$A44,'13.mell_ÖNKfeladatok2020'!P$166:P$319)</f>
        <v>0</v>
      </c>
      <c r="R44" s="983">
        <f>+SUMIF('13.mell_ÖNKfeladatok2020'!$B$166:$B$319,'14.mell_Önk kiegészítés2020'!$A44,'13.mell_ÖNKfeladatok2020'!Q$166:Q$319)</f>
        <v>0</v>
      </c>
      <c r="S44" s="819">
        <f>SUM(K44:R44)</f>
        <v>1365</v>
      </c>
      <c r="T44" s="820">
        <f>S44-J44</f>
        <v>1365</v>
      </c>
      <c r="U44" s="1484">
        <f>+ROUND(SUMIF('10.mell_támogatások2020'!$B$6:$B$137,'14.mell_Önk kiegészítés2020'!$A44,'10.mell_támogatások2020'!D$6:D$137)/1000,0)</f>
        <v>0</v>
      </c>
      <c r="V44" s="1439">
        <v>1321</v>
      </c>
      <c r="W44" s="820">
        <f t="shared" ref="W44:W46" si="32">+T44-U44-V44</f>
        <v>44</v>
      </c>
      <c r="AB44" s="296">
        <v>1321</v>
      </c>
    </row>
    <row r="45" spans="1:42">
      <c r="A45" s="939">
        <f>+A44+1</f>
        <v>25</v>
      </c>
      <c r="B45" s="628" t="s">
        <v>1145</v>
      </c>
      <c r="C45" s="629">
        <f>+SUMIF('13.mell_ÖNKfeladatok2020'!$B$5:$B$158,'14.mell_Önk kiegészítés2020'!$A45,'13.mell_ÖNKfeladatok2020'!I$5:I$158)</f>
        <v>0</v>
      </c>
      <c r="D45" s="629">
        <f>+SUMIF('13.mell_ÖNKfeladatok2020'!$B$5:$B$158,'14.mell_Önk kiegészítés2020'!$A45,'13.mell_ÖNKfeladatok2020'!J$5:J$158)</f>
        <v>0</v>
      </c>
      <c r="E45" s="629">
        <f>+SUMIF('13.mell_ÖNKfeladatok2020'!$B$5:$B$158,'14.mell_Önk kiegészítés2020'!$A45,'13.mell_ÖNKfeladatok2020'!K$5:K$158)</f>
        <v>500</v>
      </c>
      <c r="F45" s="629">
        <f>+SUMIF('13.mell_ÖNKfeladatok2020'!$B$5:$B$158,'14.mell_Önk kiegészítés2020'!$A45,'13.mell_ÖNKfeladatok2020'!L$5:L$158)</f>
        <v>0</v>
      </c>
      <c r="G45" s="629">
        <f>+SUMIF('13.mell_ÖNKfeladatok2020'!$B$5:$B$158,'14.mell_Önk kiegészítés2020'!$A45,'13.mell_ÖNKfeladatok2020'!N$5:N$158)</f>
        <v>0</v>
      </c>
      <c r="H45" s="629">
        <f>+SUMIF('13.mell_ÖNKfeladatok2020'!$B$5:$B$158,'14.mell_Önk kiegészítés2020'!$A45,'13.mell_ÖNKfeladatok2020'!O$5:O$158)</f>
        <v>0</v>
      </c>
      <c r="I45" s="629">
        <f>+SUMIF('13.mell_ÖNKfeladatok2020'!$B$5:$B$158,'14.mell_Önk kiegészítés2020'!$A45,'13.mell_ÖNKfeladatok2020'!P$5:P$158)</f>
        <v>0</v>
      </c>
      <c r="J45" s="668">
        <f>SUM(C45:I45)</f>
        <v>500</v>
      </c>
      <c r="K45" s="629">
        <f>+SUMIF('13.mell_ÖNKfeladatok2020'!$B$166:$B$319,'14.mell_Önk kiegészítés2020'!$A45,'13.mell_ÖNKfeladatok2020'!I$166:I$319)</f>
        <v>22604</v>
      </c>
      <c r="L45" s="629">
        <f>+SUMIF('13.mell_ÖNKfeladatok2020'!$B$166:$B$319,'14.mell_Önk kiegészítés2020'!$A45,'13.mell_ÖNKfeladatok2020'!J$166:J$319)</f>
        <v>3964</v>
      </c>
      <c r="M45" s="629">
        <f>+SUMIF('13.mell_ÖNKfeladatok2020'!$B$166:$B$319,'14.mell_Önk kiegészítés2020'!$A45,'13.mell_ÖNKfeladatok2020'!K$166:K$319)</f>
        <v>15708</v>
      </c>
      <c r="N45" s="629">
        <f>+SUMIF('13.mell_ÖNKfeladatok2020'!$B$166:$B$319,'14.mell_Önk kiegészítés2020'!$A45,'13.mell_ÖNKfeladatok2020'!L$166:L$319)</f>
        <v>0</v>
      </c>
      <c r="O45" s="629">
        <f>+SUMIF('13.mell_ÖNKfeladatok2020'!$B$166:$B$319,'14.mell_Önk kiegészítés2020'!$A45,'13.mell_ÖNKfeladatok2020'!M$166:M$319)</f>
        <v>0</v>
      </c>
      <c r="P45" s="629">
        <f>+SUMIF('13.mell_ÖNKfeladatok2020'!$B$166:$B$319,'14.mell_Önk kiegészítés2020'!$A45,'13.mell_ÖNKfeladatok2020'!O$166:O$319)</f>
        <v>7984</v>
      </c>
      <c r="Q45" s="629">
        <f>+SUMIF('13.mell_ÖNKfeladatok2020'!$B$166:$B$319,'14.mell_Önk kiegészítés2020'!$A45,'13.mell_ÖNKfeladatok2020'!P$166:P$319)</f>
        <v>0</v>
      </c>
      <c r="R45" s="629">
        <f>+SUMIF('13.mell_ÖNKfeladatok2020'!$B$166:$B$319,'14.mell_Önk kiegészítés2020'!$A45,'13.mell_ÖNKfeladatok2020'!Q$166:Q$319)</f>
        <v>0</v>
      </c>
      <c r="S45" s="668">
        <f>SUM(K45:R45)</f>
        <v>50260</v>
      </c>
      <c r="T45" s="630">
        <f>S45-J45</f>
        <v>49760</v>
      </c>
      <c r="U45" s="1480">
        <f>+ROUND(SUMIF('10.mell_támogatások2020'!$B$6:$B$137,'14.mell_Önk kiegészítés2020'!$A45,'10.mell_támogatások2020'!D$6:D$137)/1000,0)</f>
        <v>13207</v>
      </c>
      <c r="V45" s="1437">
        <v>-1321</v>
      </c>
      <c r="W45" s="630">
        <f t="shared" si="32"/>
        <v>37874</v>
      </c>
      <c r="AB45" s="296">
        <v>-1321</v>
      </c>
    </row>
    <row r="46" spans="1:42" ht="12.75" thickBot="1">
      <c r="A46" s="986">
        <f>+A45+1</f>
        <v>26</v>
      </c>
      <c r="B46" s="640" t="s">
        <v>1095</v>
      </c>
      <c r="C46" s="641">
        <f>+SUMIF('13.mell_ÖNKfeladatok2020'!$B$5:$B$158,'14.mell_Önk kiegészítés2020'!$A46,'13.mell_ÖNKfeladatok2020'!I$5:I$158)</f>
        <v>0</v>
      </c>
      <c r="D46" s="641">
        <f>+SUMIF('13.mell_ÖNKfeladatok2020'!$B$5:$B$158,'14.mell_Önk kiegészítés2020'!$A46,'13.mell_ÖNKfeladatok2020'!J$5:J$158)</f>
        <v>0</v>
      </c>
      <c r="E46" s="641">
        <f>+SUMIF('13.mell_ÖNKfeladatok2020'!$B$5:$B$158,'14.mell_Önk kiegészítés2020'!$A46,'13.mell_ÖNKfeladatok2020'!K$5:K$158)</f>
        <v>100</v>
      </c>
      <c r="F46" s="641">
        <f>+SUMIF('13.mell_ÖNKfeladatok2020'!$B$5:$B$158,'14.mell_Önk kiegészítés2020'!$A46,'13.mell_ÖNKfeladatok2020'!L$5:L$158)</f>
        <v>0</v>
      </c>
      <c r="G46" s="641">
        <f>+SUMIF('13.mell_ÖNKfeladatok2020'!$B$5:$B$158,'14.mell_Önk kiegészítés2020'!$A46,'13.mell_ÖNKfeladatok2020'!N$5:N$158)</f>
        <v>0</v>
      </c>
      <c r="H46" s="641">
        <f>+SUMIF('13.mell_ÖNKfeladatok2020'!$B$5:$B$158,'14.mell_Önk kiegészítés2020'!$A46,'13.mell_ÖNKfeladatok2020'!O$5:O$158)</f>
        <v>0</v>
      </c>
      <c r="I46" s="641">
        <f>+SUMIF('13.mell_ÖNKfeladatok2020'!$B$5:$B$158,'14.mell_Önk kiegészítés2020'!$A46,'13.mell_ÖNKfeladatok2020'!P$5:P$158)</f>
        <v>0</v>
      </c>
      <c r="J46" s="670">
        <f>SUM(C46:I46)</f>
        <v>100</v>
      </c>
      <c r="K46" s="641">
        <f>+SUMIF('13.mell_ÖNKfeladatok2020'!$B$166:$B$319,'14.mell_Önk kiegészítés2020'!$A46,'13.mell_ÖNKfeladatok2020'!I$166:I$319)</f>
        <v>3217</v>
      </c>
      <c r="L46" s="641">
        <f>+SUMIF('13.mell_ÖNKfeladatok2020'!$B$166:$B$319,'14.mell_Önk kiegészítés2020'!$A46,'13.mell_ÖNKfeladatok2020'!J$166:J$319)</f>
        <v>570</v>
      </c>
      <c r="M46" s="641">
        <f>+SUMIF('13.mell_ÖNKfeladatok2020'!$B$166:$B$319,'14.mell_Önk kiegészítés2020'!$A46,'13.mell_ÖNKfeladatok2020'!K$166:K$319)</f>
        <v>2330</v>
      </c>
      <c r="N46" s="641">
        <f>+SUMIF('13.mell_ÖNKfeladatok2020'!$B$166:$B$319,'14.mell_Önk kiegészítés2020'!$A46,'13.mell_ÖNKfeladatok2020'!L$166:L$319)</f>
        <v>0</v>
      </c>
      <c r="O46" s="641">
        <f>+SUMIF('13.mell_ÖNKfeladatok2020'!$B$166:$B$319,'14.mell_Önk kiegészítés2020'!$A46,'13.mell_ÖNKfeladatok2020'!M$166:M$319)</f>
        <v>0</v>
      </c>
      <c r="P46" s="641">
        <f>+SUMIF('13.mell_ÖNKfeladatok2020'!$B$166:$B$319,'14.mell_Önk kiegészítés2020'!$A46,'13.mell_ÖNKfeladatok2020'!O$166:O$319)</f>
        <v>2388</v>
      </c>
      <c r="Q46" s="641">
        <f>+SUMIF('13.mell_ÖNKfeladatok2020'!$B$166:$B$319,'14.mell_Önk kiegészítés2020'!$A46,'13.mell_ÖNKfeladatok2020'!P$166:P$319)</f>
        <v>0</v>
      </c>
      <c r="R46" s="641">
        <f>+SUMIF('13.mell_ÖNKfeladatok2020'!$B$166:$B$319,'14.mell_Önk kiegészítés2020'!$A46,'13.mell_ÖNKfeladatok2020'!Q$166:Q$319)</f>
        <v>0</v>
      </c>
      <c r="S46" s="670">
        <f>SUM(K46:R46)</f>
        <v>8505</v>
      </c>
      <c r="T46" s="987">
        <f>S46-J46</f>
        <v>8405</v>
      </c>
      <c r="U46" s="1486">
        <f>+ROUND(SUMIF('10.mell_támogatások2020'!$B$6:$B$137,'14.mell_Önk kiegészítés2020'!$A46,'10.mell_támogatások2020'!D$6:D$137)/1000,0)</f>
        <v>6679</v>
      </c>
      <c r="V46" s="1441"/>
      <c r="W46" s="987">
        <f t="shared" si="32"/>
        <v>1726</v>
      </c>
    </row>
    <row r="47" spans="1:42" s="621" customFormat="1" ht="12.75" thickBot="1">
      <c r="A47" s="392" t="s">
        <v>750</v>
      </c>
      <c r="B47" s="565" t="s">
        <v>420</v>
      </c>
      <c r="C47" s="635">
        <f>SUM(C44:C46)</f>
        <v>0</v>
      </c>
      <c r="D47" s="635">
        <f t="shared" ref="D47:W47" si="33">SUM(D44:D46)</f>
        <v>0</v>
      </c>
      <c r="E47" s="635">
        <f t="shared" si="33"/>
        <v>600</v>
      </c>
      <c r="F47" s="635">
        <f t="shared" si="33"/>
        <v>0</v>
      </c>
      <c r="G47" s="635">
        <f t="shared" si="33"/>
        <v>0</v>
      </c>
      <c r="H47" s="635">
        <f t="shared" si="33"/>
        <v>0</v>
      </c>
      <c r="I47" s="635">
        <f t="shared" si="33"/>
        <v>0</v>
      </c>
      <c r="J47" s="638">
        <f t="shared" si="33"/>
        <v>600</v>
      </c>
      <c r="K47" s="635">
        <f t="shared" si="33"/>
        <v>25821</v>
      </c>
      <c r="L47" s="635">
        <f t="shared" si="33"/>
        <v>4534</v>
      </c>
      <c r="M47" s="635">
        <f t="shared" si="33"/>
        <v>19403</v>
      </c>
      <c r="N47" s="635">
        <f t="shared" si="33"/>
        <v>0</v>
      </c>
      <c r="O47" s="635">
        <f t="shared" si="33"/>
        <v>0</v>
      </c>
      <c r="P47" s="635">
        <f t="shared" si="33"/>
        <v>10372</v>
      </c>
      <c r="Q47" s="635">
        <f t="shared" si="33"/>
        <v>0</v>
      </c>
      <c r="R47" s="635">
        <f t="shared" si="33"/>
        <v>0</v>
      </c>
      <c r="S47" s="638">
        <f t="shared" si="33"/>
        <v>60130</v>
      </c>
      <c r="T47" s="638">
        <f t="shared" si="33"/>
        <v>59530</v>
      </c>
      <c r="U47" s="1481">
        <f t="shared" si="33"/>
        <v>19886</v>
      </c>
      <c r="V47" s="639">
        <f t="shared" ref="V47" si="34">SUM(V44:V46)</f>
        <v>0</v>
      </c>
      <c r="W47" s="638">
        <f t="shared" si="33"/>
        <v>39644</v>
      </c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</row>
    <row r="48" spans="1:42" ht="12.75" thickBot="1">
      <c r="A48" s="990">
        <f>+A46+1</f>
        <v>27</v>
      </c>
      <c r="B48" s="991" t="s">
        <v>752</v>
      </c>
      <c r="C48" s="992">
        <f>+SUMIF('13.mell_ÖNKfeladatok2020'!$B$5:$B$158,'14.mell_Önk kiegészítés2020'!$A48,'13.mell_ÖNKfeladatok2020'!I$5:I$158)</f>
        <v>0</v>
      </c>
      <c r="D48" s="992">
        <f>+SUMIF('13.mell_ÖNKfeladatok2020'!$B$5:$B$158,'14.mell_Önk kiegészítés2020'!$A48,'13.mell_ÖNKfeladatok2020'!J$5:J$158)</f>
        <v>0</v>
      </c>
      <c r="E48" s="992">
        <f>+SUMIF('13.mell_ÖNKfeladatok2020'!$B$5:$B$158,'14.mell_Önk kiegészítés2020'!$A48,'13.mell_ÖNKfeladatok2020'!K$5:K$158)</f>
        <v>0</v>
      </c>
      <c r="F48" s="992">
        <f>+SUMIF('13.mell_ÖNKfeladatok2020'!$B$5:$B$158,'14.mell_Önk kiegészítés2020'!$A48,'13.mell_ÖNKfeladatok2020'!L$5:L$158)</f>
        <v>0</v>
      </c>
      <c r="G48" s="992">
        <f>+SUMIF('13.mell_ÖNKfeladatok2020'!$B$5:$B$158,'14.mell_Önk kiegészítés2020'!$A48,'13.mell_ÖNKfeladatok2020'!N$5:N$158)</f>
        <v>0</v>
      </c>
      <c r="H48" s="992">
        <f>+SUMIF('13.mell_ÖNKfeladatok2020'!$B$5:$B$158,'14.mell_Önk kiegészítés2020'!$A48,'13.mell_ÖNKfeladatok2020'!O$5:O$158)</f>
        <v>0</v>
      </c>
      <c r="I48" s="992">
        <f>+SUMIF('13.mell_ÖNKfeladatok2020'!$B$5:$B$158,'14.mell_Önk kiegészítés2020'!$A48,'13.mell_ÖNKfeladatok2020'!P$5:P$158)</f>
        <v>0</v>
      </c>
      <c r="J48" s="993">
        <f>SUM(C48:I48)</f>
        <v>0</v>
      </c>
      <c r="K48" s="992">
        <f>+SUMIF('13.mell_ÖNKfeladatok2020'!$B$166:$B$319,'14.mell_Önk kiegészítés2020'!$A48,'13.mell_ÖNKfeladatok2020'!I$166:I$319)</f>
        <v>0</v>
      </c>
      <c r="L48" s="992">
        <f>+SUMIF('13.mell_ÖNKfeladatok2020'!$B$166:$B$319,'14.mell_Önk kiegészítés2020'!$A48,'13.mell_ÖNKfeladatok2020'!J$166:J$319)</f>
        <v>0</v>
      </c>
      <c r="M48" s="992">
        <f>+SUMIF('13.mell_ÖNKfeladatok2020'!$B$166:$B$319,'14.mell_Önk kiegészítés2020'!$A48,'13.mell_ÖNKfeladatok2020'!K$166:K$319)</f>
        <v>0</v>
      </c>
      <c r="N48" s="992">
        <f>+SUMIF('13.mell_ÖNKfeladatok2020'!$B$166:$B$319,'14.mell_Önk kiegészítés2020'!$A48,'13.mell_ÖNKfeladatok2020'!L$166:L$319)</f>
        <v>0</v>
      </c>
      <c r="O48" s="992">
        <f>+SUMIF('13.mell_ÖNKfeladatok2020'!$B$166:$B$319,'14.mell_Önk kiegészítés2020'!$A48,'13.mell_ÖNKfeladatok2020'!M$166:M$319)</f>
        <v>0</v>
      </c>
      <c r="P48" s="992">
        <f>+SUMIF('13.mell_ÖNKfeladatok2020'!$B$166:$B$319,'14.mell_Önk kiegészítés2020'!$A48,'13.mell_ÖNKfeladatok2020'!O$166:O$319)</f>
        <v>0</v>
      </c>
      <c r="Q48" s="992">
        <f>+SUMIF('13.mell_ÖNKfeladatok2020'!$B$166:$B$319,'14.mell_Önk kiegészítés2020'!$A48,'13.mell_ÖNKfeladatok2020'!P$166:P$319)</f>
        <v>0</v>
      </c>
      <c r="R48" s="992">
        <f>+SUMIF('13.mell_ÖNKfeladatok2020'!$B$166:$B$319,'14.mell_Önk kiegészítés2020'!$A48,'13.mell_ÖNKfeladatok2020'!Q$166:Q$319)</f>
        <v>0</v>
      </c>
      <c r="S48" s="993">
        <f>SUM(K48:R48)</f>
        <v>0</v>
      </c>
      <c r="T48" s="638">
        <f>S48-J48</f>
        <v>0</v>
      </c>
      <c r="U48" s="1487">
        <f>+ROUND(SUMIF('10.mell_támogatások2020'!$B$6:$B$137,'14.mell_Önk kiegészítés2020'!$A48,'10.mell_támogatások2020'!D$6:D$137)/1000,0)</f>
        <v>0</v>
      </c>
      <c r="V48" s="1442"/>
      <c r="W48" s="638">
        <f>+T48-U48-V48</f>
        <v>0</v>
      </c>
    </row>
    <row r="49" spans="1:42" s="621" customFormat="1" ht="12.75" thickBot="1">
      <c r="A49" s="580" t="s">
        <v>633</v>
      </c>
      <c r="B49" s="581" t="s">
        <v>752</v>
      </c>
      <c r="C49" s="988">
        <f>SUM(C48)</f>
        <v>0</v>
      </c>
      <c r="D49" s="988">
        <f t="shared" ref="D49:W49" si="35">SUM(D48)</f>
        <v>0</v>
      </c>
      <c r="E49" s="988">
        <f t="shared" si="35"/>
        <v>0</v>
      </c>
      <c r="F49" s="988">
        <f t="shared" si="35"/>
        <v>0</v>
      </c>
      <c r="G49" s="988">
        <f t="shared" si="35"/>
        <v>0</v>
      </c>
      <c r="H49" s="988">
        <f t="shared" si="35"/>
        <v>0</v>
      </c>
      <c r="I49" s="988">
        <f t="shared" si="35"/>
        <v>0</v>
      </c>
      <c r="J49" s="989">
        <f t="shared" si="35"/>
        <v>0</v>
      </c>
      <c r="K49" s="988">
        <f t="shared" si="35"/>
        <v>0</v>
      </c>
      <c r="L49" s="988">
        <f t="shared" si="35"/>
        <v>0</v>
      </c>
      <c r="M49" s="988">
        <f t="shared" si="35"/>
        <v>0</v>
      </c>
      <c r="N49" s="988">
        <f t="shared" si="35"/>
        <v>0</v>
      </c>
      <c r="O49" s="988">
        <f t="shared" si="35"/>
        <v>0</v>
      </c>
      <c r="P49" s="988">
        <f t="shared" si="35"/>
        <v>0</v>
      </c>
      <c r="Q49" s="988">
        <f t="shared" si="35"/>
        <v>0</v>
      </c>
      <c r="R49" s="988">
        <f t="shared" si="35"/>
        <v>0</v>
      </c>
      <c r="S49" s="989">
        <f t="shared" si="35"/>
        <v>0</v>
      </c>
      <c r="T49" s="989">
        <f t="shared" si="35"/>
        <v>0</v>
      </c>
      <c r="U49" s="1488">
        <f t="shared" si="35"/>
        <v>0</v>
      </c>
      <c r="V49" s="1443">
        <f t="shared" ref="V49" si="36">SUM(V48)</f>
        <v>0</v>
      </c>
      <c r="W49" s="989">
        <f t="shared" si="35"/>
        <v>0</v>
      </c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</row>
    <row r="50" spans="1:42" ht="12.75" thickBot="1">
      <c r="A50" s="990">
        <f>+A48+1</f>
        <v>28</v>
      </c>
      <c r="B50" s="991" t="s">
        <v>767</v>
      </c>
      <c r="C50" s="992">
        <f>+SUMIF('13.mell_ÖNKfeladatok2020'!$B$5:$B$158,'14.mell_Önk kiegészítés2020'!$A50,'13.mell_ÖNKfeladatok2020'!I$5:I$158)</f>
        <v>0</v>
      </c>
      <c r="D50" s="992">
        <f>+SUMIF('13.mell_ÖNKfeladatok2020'!$B$5:$B$158,'14.mell_Önk kiegészítés2020'!$A50,'13.mell_ÖNKfeladatok2020'!J$5:J$158)</f>
        <v>0</v>
      </c>
      <c r="E50" s="992">
        <f>+SUMIF('13.mell_ÖNKfeladatok2020'!$B$5:$B$158,'14.mell_Önk kiegészítés2020'!$A50,'13.mell_ÖNKfeladatok2020'!K$5:K$158)</f>
        <v>0</v>
      </c>
      <c r="F50" s="992">
        <f>+SUMIF('13.mell_ÖNKfeladatok2020'!$B$5:$B$158,'14.mell_Önk kiegészítés2020'!$A50,'13.mell_ÖNKfeladatok2020'!L$5:L$158)</f>
        <v>0</v>
      </c>
      <c r="G50" s="992">
        <f>+SUMIF('13.mell_ÖNKfeladatok2020'!$B$5:$B$158,'14.mell_Önk kiegészítés2020'!$A50,'13.mell_ÖNKfeladatok2020'!N$5:N$158)</f>
        <v>0</v>
      </c>
      <c r="H50" s="992">
        <f>+SUMIF('13.mell_ÖNKfeladatok2020'!$B$5:$B$158,'14.mell_Önk kiegészítés2020'!$A50,'13.mell_ÖNKfeladatok2020'!O$5:O$158)</f>
        <v>0</v>
      </c>
      <c r="I50" s="992">
        <f>+SUMIF('13.mell_ÖNKfeladatok2020'!$B$5:$B$158,'14.mell_Önk kiegészítés2020'!$A50,'13.mell_ÖNKfeladatok2020'!P$5:P$158)</f>
        <v>0</v>
      </c>
      <c r="J50" s="993">
        <f>SUM(C50:I50)</f>
        <v>0</v>
      </c>
      <c r="K50" s="992">
        <f>+SUMIF('13.mell_ÖNKfeladatok2020'!$B$166:$B$319,'14.mell_Önk kiegészítés2020'!$A50,'13.mell_ÖNKfeladatok2020'!I$166:I$319)</f>
        <v>0</v>
      </c>
      <c r="L50" s="992">
        <f>+SUMIF('13.mell_ÖNKfeladatok2020'!$B$166:$B$319,'14.mell_Önk kiegészítés2020'!$A50,'13.mell_ÖNKfeladatok2020'!J$166:J$319)</f>
        <v>0</v>
      </c>
      <c r="M50" s="992">
        <f>+SUMIF('13.mell_ÖNKfeladatok2020'!$B$166:$B$319,'14.mell_Önk kiegészítés2020'!$A50,'13.mell_ÖNKfeladatok2020'!K$166:K$319)</f>
        <v>0</v>
      </c>
      <c r="N50" s="992">
        <f>+SUMIF('13.mell_ÖNKfeladatok2020'!$B$166:$B$319,'14.mell_Önk kiegészítés2020'!$A50,'13.mell_ÖNKfeladatok2020'!L$166:L$319)</f>
        <v>0</v>
      </c>
      <c r="O50" s="992">
        <f>+SUMIF('13.mell_ÖNKfeladatok2020'!$B$166:$B$319,'14.mell_Önk kiegészítés2020'!$A50,'13.mell_ÖNKfeladatok2020'!M$166:M$319)</f>
        <v>0</v>
      </c>
      <c r="P50" s="992">
        <f>+SUMIF('13.mell_ÖNKfeladatok2020'!$B$166:$B$319,'14.mell_Önk kiegészítés2020'!$A50,'13.mell_ÖNKfeladatok2020'!O$166:O$319)</f>
        <v>0</v>
      </c>
      <c r="Q50" s="992">
        <f>+SUMIF('13.mell_ÖNKfeladatok2020'!$B$166:$B$319,'14.mell_Önk kiegészítés2020'!$A50,'13.mell_ÖNKfeladatok2020'!P$166:P$319)</f>
        <v>0</v>
      </c>
      <c r="R50" s="992">
        <f>+SUMIF('13.mell_ÖNKfeladatok2020'!$B$166:$B$319,'14.mell_Önk kiegészítés2020'!$A50,'13.mell_ÖNKfeladatok2020'!Q$166:Q$319)</f>
        <v>0</v>
      </c>
      <c r="S50" s="993">
        <f>SUM(K50:R50)</f>
        <v>0</v>
      </c>
      <c r="T50" s="638">
        <f>S50-J50</f>
        <v>0</v>
      </c>
      <c r="U50" s="1487">
        <f>+ROUND(SUMIF('10.mell_támogatások2020'!$B$6:$B$137,'14.mell_Önk kiegészítés2020'!$A50,'10.mell_támogatások2020'!D$6:D$137)/1000,0)</f>
        <v>0</v>
      </c>
      <c r="V50" s="1442"/>
      <c r="W50" s="638">
        <f>+T50-U50-V50</f>
        <v>0</v>
      </c>
    </row>
    <row r="51" spans="1:42" s="621" customFormat="1" ht="12.75" thickBot="1">
      <c r="A51" s="580" t="s">
        <v>751</v>
      </c>
      <c r="B51" s="581" t="s">
        <v>767</v>
      </c>
      <c r="C51" s="988">
        <f>SUM(C50)</f>
        <v>0</v>
      </c>
      <c r="D51" s="988">
        <f t="shared" ref="D51:W51" si="37">SUM(D50)</f>
        <v>0</v>
      </c>
      <c r="E51" s="988">
        <f t="shared" si="37"/>
        <v>0</v>
      </c>
      <c r="F51" s="988">
        <f t="shared" si="37"/>
        <v>0</v>
      </c>
      <c r="G51" s="988">
        <f t="shared" si="37"/>
        <v>0</v>
      </c>
      <c r="H51" s="988">
        <f t="shared" si="37"/>
        <v>0</v>
      </c>
      <c r="I51" s="988">
        <f t="shared" si="37"/>
        <v>0</v>
      </c>
      <c r="J51" s="989">
        <f t="shared" si="37"/>
        <v>0</v>
      </c>
      <c r="K51" s="988">
        <f t="shared" si="37"/>
        <v>0</v>
      </c>
      <c r="L51" s="988">
        <f t="shared" si="37"/>
        <v>0</v>
      </c>
      <c r="M51" s="988">
        <f t="shared" si="37"/>
        <v>0</v>
      </c>
      <c r="N51" s="988">
        <f t="shared" si="37"/>
        <v>0</v>
      </c>
      <c r="O51" s="988">
        <f t="shared" si="37"/>
        <v>0</v>
      </c>
      <c r="P51" s="988">
        <f t="shared" si="37"/>
        <v>0</v>
      </c>
      <c r="Q51" s="988">
        <f t="shared" si="37"/>
        <v>0</v>
      </c>
      <c r="R51" s="988">
        <f t="shared" si="37"/>
        <v>0</v>
      </c>
      <c r="S51" s="989">
        <f t="shared" si="37"/>
        <v>0</v>
      </c>
      <c r="T51" s="989">
        <f t="shared" si="37"/>
        <v>0</v>
      </c>
      <c r="U51" s="1488">
        <f t="shared" si="37"/>
        <v>0</v>
      </c>
      <c r="V51" s="1443">
        <f t="shared" ref="V51" si="38">SUM(V50)</f>
        <v>0</v>
      </c>
      <c r="W51" s="989">
        <f t="shared" si="37"/>
        <v>0</v>
      </c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</row>
    <row r="52" spans="1:42" s="621" customFormat="1" ht="12.75" thickBot="1">
      <c r="A52" s="568" t="s">
        <v>20</v>
      </c>
      <c r="B52" s="585" t="s">
        <v>422</v>
      </c>
      <c r="C52" s="644">
        <f>+C47+C49+C51</f>
        <v>0</v>
      </c>
      <c r="D52" s="645">
        <f t="shared" ref="D52:W52" si="39">+D47+D49+D51</f>
        <v>0</v>
      </c>
      <c r="E52" s="645">
        <f t="shared" si="39"/>
        <v>600</v>
      </c>
      <c r="F52" s="645">
        <f t="shared" si="39"/>
        <v>0</v>
      </c>
      <c r="G52" s="645">
        <f t="shared" si="39"/>
        <v>0</v>
      </c>
      <c r="H52" s="645">
        <f t="shared" si="39"/>
        <v>0</v>
      </c>
      <c r="I52" s="646">
        <f t="shared" si="39"/>
        <v>0</v>
      </c>
      <c r="J52" s="647">
        <f t="shared" si="39"/>
        <v>600</v>
      </c>
      <c r="K52" s="644">
        <f t="shared" si="39"/>
        <v>25821</v>
      </c>
      <c r="L52" s="644">
        <f t="shared" si="39"/>
        <v>4534</v>
      </c>
      <c r="M52" s="644">
        <f t="shared" si="39"/>
        <v>19403</v>
      </c>
      <c r="N52" s="644">
        <f t="shared" si="39"/>
        <v>0</v>
      </c>
      <c r="O52" s="644">
        <f t="shared" si="39"/>
        <v>0</v>
      </c>
      <c r="P52" s="644">
        <f t="shared" si="39"/>
        <v>10372</v>
      </c>
      <c r="Q52" s="644">
        <f t="shared" si="39"/>
        <v>0</v>
      </c>
      <c r="R52" s="644">
        <f t="shared" si="39"/>
        <v>0</v>
      </c>
      <c r="S52" s="647">
        <f t="shared" si="39"/>
        <v>60130</v>
      </c>
      <c r="T52" s="647">
        <f t="shared" si="39"/>
        <v>59530</v>
      </c>
      <c r="U52" s="1483">
        <f t="shared" si="39"/>
        <v>19886</v>
      </c>
      <c r="V52" s="646">
        <f t="shared" ref="V52" si="40">+V47+V49+V51</f>
        <v>0</v>
      </c>
      <c r="W52" s="647">
        <f t="shared" si="39"/>
        <v>39644</v>
      </c>
      <c r="Y52" s="621">
        <f>+'13.mell_ÖNKfeladatok2020'!G135-J52</f>
        <v>0</v>
      </c>
      <c r="Z52" s="621">
        <f>+'13.mell_ÖNKfeladatok2020'!G296-S52</f>
        <v>0</v>
      </c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</row>
    <row r="53" spans="1:42" s="224" customFormat="1" ht="12.75" thickBot="1">
      <c r="A53" s="606"/>
      <c r="B53" s="659"/>
      <c r="C53" s="648"/>
      <c r="D53" s="649"/>
      <c r="E53" s="649"/>
      <c r="F53" s="649"/>
      <c r="G53" s="649"/>
      <c r="H53" s="649"/>
      <c r="I53" s="650"/>
      <c r="J53" s="651"/>
      <c r="K53" s="660"/>
      <c r="L53" s="660"/>
      <c r="M53" s="660"/>
      <c r="N53" s="660"/>
      <c r="O53" s="660"/>
      <c r="P53" s="660"/>
      <c r="Q53" s="660"/>
      <c r="R53" s="660"/>
      <c r="S53" s="658"/>
      <c r="T53" s="658"/>
      <c r="U53" s="1489"/>
      <c r="V53" s="1444"/>
      <c r="W53" s="658"/>
      <c r="AB53" s="225"/>
      <c r="AC53" s="225"/>
      <c r="AD53" s="225"/>
      <c r="AE53" s="225"/>
      <c r="AF53" s="225"/>
      <c r="AG53" s="225"/>
      <c r="AH53" s="225"/>
      <c r="AI53" s="225"/>
      <c r="AJ53" s="225"/>
      <c r="AK53" s="225"/>
      <c r="AL53" s="225"/>
      <c r="AM53" s="225"/>
      <c r="AN53" s="225"/>
      <c r="AO53" s="225"/>
      <c r="AP53" s="225"/>
    </row>
    <row r="54" spans="1:42" ht="12.75" thickBot="1">
      <c r="A54" s="938">
        <f>+A50+1</f>
        <v>29</v>
      </c>
      <c r="B54" s="818" t="s">
        <v>860</v>
      </c>
      <c r="C54" s="983">
        <f>+SUMIF('13.mell_ÖNKfeladatok2020'!$B$5:$B$158,'14.mell_Önk kiegészítés2020'!$A54,'13.mell_ÖNKfeladatok2020'!I$5:I$158)</f>
        <v>0</v>
      </c>
      <c r="D54" s="983">
        <f>+SUMIF('13.mell_ÖNKfeladatok2020'!$B$5:$B$158,'14.mell_Önk kiegészítés2020'!$A54,'13.mell_ÖNKfeladatok2020'!J$5:J$158)</f>
        <v>0</v>
      </c>
      <c r="E54" s="983">
        <f>+SUMIF('13.mell_ÖNKfeladatok2020'!$B$5:$B$158,'14.mell_Önk kiegészítés2020'!$A54,'13.mell_ÖNKfeladatok2020'!K$5:K$158)</f>
        <v>0</v>
      </c>
      <c r="F54" s="983">
        <f>+SUMIF('13.mell_ÖNKfeladatok2020'!$B$5:$B$158,'14.mell_Önk kiegészítés2020'!$A54,'13.mell_ÖNKfeladatok2020'!L$5:L$158)</f>
        <v>0</v>
      </c>
      <c r="G54" s="983">
        <f>+SUMIF('13.mell_ÖNKfeladatok2020'!$B$5:$B$158,'14.mell_Önk kiegészítés2020'!$A54,'13.mell_ÖNKfeladatok2020'!N$5:N$158)</f>
        <v>0</v>
      </c>
      <c r="H54" s="983">
        <f>+SUMIF('13.mell_ÖNKfeladatok2020'!$B$5:$B$158,'14.mell_Önk kiegészítés2020'!$A54,'13.mell_ÖNKfeladatok2020'!O$5:O$158)</f>
        <v>0</v>
      </c>
      <c r="I54" s="983">
        <f>+SUMIF('13.mell_ÖNKfeladatok2020'!$B$5:$B$158,'14.mell_Önk kiegészítés2020'!$A54,'13.mell_ÖNKfeladatok2020'!P$5:P$158)</f>
        <v>0</v>
      </c>
      <c r="J54" s="819">
        <f>SUM(C54:I54)</f>
        <v>0</v>
      </c>
      <c r="K54" s="983">
        <f>+SUMIF('13.mell_ÖNKfeladatok2020'!$B$166:$B$319,'14.mell_Önk kiegészítés2020'!$A54,'13.mell_ÖNKfeladatok2020'!I$166:I$319)</f>
        <v>0</v>
      </c>
      <c r="L54" s="983">
        <f>+SUMIF('13.mell_ÖNKfeladatok2020'!$B$166:$B$319,'14.mell_Önk kiegészítés2020'!$A54,'13.mell_ÖNKfeladatok2020'!J$166:J$319)</f>
        <v>0</v>
      </c>
      <c r="M54" s="983">
        <f>+SUMIF('13.mell_ÖNKfeladatok2020'!$B$166:$B$319,'14.mell_Önk kiegészítés2020'!$A54,'13.mell_ÖNKfeladatok2020'!K$166:K$319)</f>
        <v>0</v>
      </c>
      <c r="N54" s="983">
        <f>+SUMIF('13.mell_ÖNKfeladatok2020'!$B$166:$B$319,'14.mell_Önk kiegészítés2020'!$A54,'13.mell_ÖNKfeladatok2020'!L$166:L$319)</f>
        <v>0</v>
      </c>
      <c r="O54" s="983">
        <f>+SUMIF('13.mell_ÖNKfeladatok2020'!$B$166:$B$319,'14.mell_Önk kiegészítés2020'!$A54,'13.mell_ÖNKfeladatok2020'!M$166:M$319)</f>
        <v>0</v>
      </c>
      <c r="P54" s="983">
        <f>+SUMIF('13.mell_ÖNKfeladatok2020'!$B$166:$B$319,'14.mell_Önk kiegészítés2020'!$A54,'13.mell_ÖNKfeladatok2020'!O$166:O$319)</f>
        <v>0</v>
      </c>
      <c r="Q54" s="983">
        <f>+SUMIF('13.mell_ÖNKfeladatok2020'!$B$166:$B$319,'14.mell_Önk kiegészítés2020'!$A54,'13.mell_ÖNKfeladatok2020'!P$166:P$319)</f>
        <v>0</v>
      </c>
      <c r="R54" s="983">
        <f>+SUMIF('13.mell_ÖNKfeladatok2020'!$B$166:$B$319,'14.mell_Önk kiegészítés2020'!$A54,'13.mell_ÖNKfeladatok2020'!Q$166:Q$319)</f>
        <v>0</v>
      </c>
      <c r="S54" s="819">
        <f>SUM(K54:R54)</f>
        <v>0</v>
      </c>
      <c r="T54" s="820">
        <f>S54-J54</f>
        <v>0</v>
      </c>
      <c r="U54" s="1484">
        <f>+ROUND(SUMIF('10.mell_támogatások2020'!$B$6:$B$137,'14.mell_Önk kiegészítés2020'!$A54,'10.mell_támogatások2020'!D$6:D$137)/1000,0)</f>
        <v>0</v>
      </c>
      <c r="V54" s="1439"/>
      <c r="W54" s="820">
        <f>+T54-U54-V54</f>
        <v>0</v>
      </c>
    </row>
    <row r="55" spans="1:42" s="621" customFormat="1" ht="12.75" thickBot="1">
      <c r="A55" s="392" t="s">
        <v>885</v>
      </c>
      <c r="B55" s="565" t="s">
        <v>860</v>
      </c>
      <c r="C55" s="635">
        <f>SUM(C54)</f>
        <v>0</v>
      </c>
      <c r="D55" s="635">
        <f t="shared" ref="D55:W55" si="41">SUM(D54)</f>
        <v>0</v>
      </c>
      <c r="E55" s="635">
        <f t="shared" si="41"/>
        <v>0</v>
      </c>
      <c r="F55" s="635">
        <f t="shared" si="41"/>
        <v>0</v>
      </c>
      <c r="G55" s="635">
        <f t="shared" si="41"/>
        <v>0</v>
      </c>
      <c r="H55" s="635">
        <f t="shared" si="41"/>
        <v>0</v>
      </c>
      <c r="I55" s="635">
        <f t="shared" si="41"/>
        <v>0</v>
      </c>
      <c r="J55" s="638">
        <f t="shared" si="41"/>
        <v>0</v>
      </c>
      <c r="K55" s="635">
        <f t="shared" si="41"/>
        <v>0</v>
      </c>
      <c r="L55" s="635">
        <f t="shared" si="41"/>
        <v>0</v>
      </c>
      <c r="M55" s="635">
        <f t="shared" si="41"/>
        <v>0</v>
      </c>
      <c r="N55" s="635">
        <f t="shared" si="41"/>
        <v>0</v>
      </c>
      <c r="O55" s="635">
        <f t="shared" si="41"/>
        <v>0</v>
      </c>
      <c r="P55" s="635">
        <f t="shared" si="41"/>
        <v>0</v>
      </c>
      <c r="Q55" s="635">
        <f t="shared" si="41"/>
        <v>0</v>
      </c>
      <c r="R55" s="635">
        <f t="shared" si="41"/>
        <v>0</v>
      </c>
      <c r="S55" s="638">
        <f t="shared" si="41"/>
        <v>0</v>
      </c>
      <c r="T55" s="638">
        <f t="shared" si="41"/>
        <v>0</v>
      </c>
      <c r="U55" s="1481">
        <f t="shared" si="41"/>
        <v>0</v>
      </c>
      <c r="V55" s="639">
        <f t="shared" ref="V55" si="42">SUM(V54)</f>
        <v>0</v>
      </c>
      <c r="W55" s="638">
        <f t="shared" si="41"/>
        <v>0</v>
      </c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</row>
    <row r="56" spans="1:42" ht="12.75" thickBot="1">
      <c r="A56" s="990">
        <f>+A54+1</f>
        <v>30</v>
      </c>
      <c r="B56" s="991" t="s">
        <v>1075</v>
      </c>
      <c r="C56" s="992">
        <f>+SUMIF('13.mell_ÖNKfeladatok2020'!$B$5:$B$158,'14.mell_Önk kiegészítés2020'!$A56,'13.mell_ÖNKfeladatok2020'!I$5:I$158)</f>
        <v>3240</v>
      </c>
      <c r="D56" s="992">
        <f>+SUMIF('13.mell_ÖNKfeladatok2020'!$B$5:$B$158,'14.mell_Önk kiegészítés2020'!$A56,'13.mell_ÖNKfeladatok2020'!J$5:J$158)</f>
        <v>17553</v>
      </c>
      <c r="E56" s="992">
        <f>+SUMIF('13.mell_ÖNKfeladatok2020'!$B$5:$B$158,'14.mell_Önk kiegészítés2020'!$A56,'13.mell_ÖNKfeladatok2020'!K$5:K$158)</f>
        <v>0</v>
      </c>
      <c r="F56" s="992">
        <f>+SUMIF('13.mell_ÖNKfeladatok2020'!$B$5:$B$158,'14.mell_Önk kiegészítés2020'!$A56,'13.mell_ÖNKfeladatok2020'!L$5:L$158)</f>
        <v>0</v>
      </c>
      <c r="G56" s="992">
        <f>+SUMIF('13.mell_ÖNKfeladatok2020'!$B$5:$B$158,'14.mell_Önk kiegészítés2020'!$A56,'13.mell_ÖNKfeladatok2020'!N$5:N$158)</f>
        <v>0</v>
      </c>
      <c r="H56" s="992">
        <f>+SUMIF('13.mell_ÖNKfeladatok2020'!$B$5:$B$158,'14.mell_Önk kiegészítés2020'!$A56,'13.mell_ÖNKfeladatok2020'!O$5:O$158)</f>
        <v>0</v>
      </c>
      <c r="I56" s="992">
        <f>+SUMIF('13.mell_ÖNKfeladatok2020'!$B$5:$B$158,'14.mell_Önk kiegészítés2020'!$A56,'13.mell_ÖNKfeladatok2020'!P$5:P$158)</f>
        <v>0</v>
      </c>
      <c r="J56" s="993">
        <f>SUM(C56:I56)</f>
        <v>20793</v>
      </c>
      <c r="K56" s="992">
        <f>+SUMIF('13.mell_ÖNKfeladatok2020'!$B$166:$B$319,'14.mell_Önk kiegészítés2020'!$A56,'13.mell_ÖNKfeladatok2020'!I$166:I$319)</f>
        <v>9352</v>
      </c>
      <c r="L56" s="992">
        <f>+SUMIF('13.mell_ÖNKfeladatok2020'!$B$166:$B$319,'14.mell_Önk kiegészítés2020'!$A56,'13.mell_ÖNKfeladatok2020'!J$166:J$319)</f>
        <v>1371</v>
      </c>
      <c r="M56" s="992">
        <f>+SUMIF('13.mell_ÖNKfeladatok2020'!$B$166:$B$319,'14.mell_Önk kiegészítés2020'!$A56,'13.mell_ÖNKfeladatok2020'!K$166:K$319)</f>
        <v>1056</v>
      </c>
      <c r="N56" s="992">
        <f>+SUMIF('13.mell_ÖNKfeladatok2020'!$B$166:$B$319,'14.mell_Önk kiegészítés2020'!$A56,'13.mell_ÖNKfeladatok2020'!L$166:L$319)</f>
        <v>0</v>
      </c>
      <c r="O56" s="992">
        <f>+SUMIF('13.mell_ÖNKfeladatok2020'!$B$166:$B$319,'14.mell_Önk kiegészítés2020'!$A56,'13.mell_ÖNKfeladatok2020'!M$166:M$319)</f>
        <v>8014</v>
      </c>
      <c r="P56" s="992">
        <f>+SUMIF('13.mell_ÖNKfeladatok2020'!$B$166:$B$319,'14.mell_Önk kiegészítés2020'!$A56,'13.mell_ÖNKfeladatok2020'!O$166:O$319)</f>
        <v>1000</v>
      </c>
      <c r="Q56" s="992">
        <f>+SUMIF('13.mell_ÖNKfeladatok2020'!$B$166:$B$319,'14.mell_Önk kiegészítés2020'!$A56,'13.mell_ÖNKfeladatok2020'!P$166:P$319)</f>
        <v>0</v>
      </c>
      <c r="R56" s="992">
        <f>+SUMIF('13.mell_ÖNKfeladatok2020'!$B$166:$B$319,'14.mell_Önk kiegészítés2020'!$A56,'13.mell_ÖNKfeladatok2020'!Q$166:Q$319)</f>
        <v>0</v>
      </c>
      <c r="S56" s="993">
        <f>SUM(K56:R56)</f>
        <v>20793</v>
      </c>
      <c r="T56" s="638">
        <f>S56-J56</f>
        <v>0</v>
      </c>
      <c r="U56" s="1487">
        <f>+ROUND(SUMIF('10.mell_támogatások2020'!$B$6:$B$137,'14.mell_Önk kiegészítés2020'!$A56,'10.mell_támogatások2020'!D$6:D$137)/1000,0)</f>
        <v>0</v>
      </c>
      <c r="V56" s="1442"/>
      <c r="W56" s="638">
        <f>+T56-U56-V56</f>
        <v>0</v>
      </c>
    </row>
    <row r="57" spans="1:42" s="621" customFormat="1" ht="12.75" thickBot="1">
      <c r="A57" s="580" t="s">
        <v>886</v>
      </c>
      <c r="B57" s="581" t="s">
        <v>861</v>
      </c>
      <c r="C57" s="635">
        <f>SUM(C56)</f>
        <v>3240</v>
      </c>
      <c r="D57" s="635">
        <f t="shared" ref="D57:W57" si="43">SUM(D56)</f>
        <v>17553</v>
      </c>
      <c r="E57" s="635">
        <f t="shared" si="43"/>
        <v>0</v>
      </c>
      <c r="F57" s="635">
        <f t="shared" si="43"/>
        <v>0</v>
      </c>
      <c r="G57" s="635">
        <f t="shared" si="43"/>
        <v>0</v>
      </c>
      <c r="H57" s="635">
        <f t="shared" si="43"/>
        <v>0</v>
      </c>
      <c r="I57" s="635">
        <f t="shared" si="43"/>
        <v>0</v>
      </c>
      <c r="J57" s="638">
        <f t="shared" si="43"/>
        <v>20793</v>
      </c>
      <c r="K57" s="635">
        <f t="shared" si="43"/>
        <v>9352</v>
      </c>
      <c r="L57" s="635">
        <f t="shared" si="43"/>
        <v>1371</v>
      </c>
      <c r="M57" s="635">
        <f t="shared" si="43"/>
        <v>1056</v>
      </c>
      <c r="N57" s="635">
        <f t="shared" si="43"/>
        <v>0</v>
      </c>
      <c r="O57" s="635">
        <f t="shared" si="43"/>
        <v>8014</v>
      </c>
      <c r="P57" s="635">
        <f t="shared" si="43"/>
        <v>1000</v>
      </c>
      <c r="Q57" s="635">
        <f t="shared" si="43"/>
        <v>0</v>
      </c>
      <c r="R57" s="635">
        <f t="shared" si="43"/>
        <v>0</v>
      </c>
      <c r="S57" s="638">
        <f t="shared" si="43"/>
        <v>20793</v>
      </c>
      <c r="T57" s="638">
        <f t="shared" si="43"/>
        <v>0</v>
      </c>
      <c r="U57" s="1481">
        <f t="shared" si="43"/>
        <v>0</v>
      </c>
      <c r="V57" s="639">
        <f t="shared" ref="V57" si="44">SUM(V56)</f>
        <v>0</v>
      </c>
      <c r="W57" s="638">
        <f t="shared" si="43"/>
        <v>0</v>
      </c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</row>
    <row r="58" spans="1:42" ht="12.75" thickBot="1">
      <c r="A58" s="990">
        <f>+A56+1</f>
        <v>31</v>
      </c>
      <c r="B58" s="991" t="s">
        <v>888</v>
      </c>
      <c r="C58" s="992">
        <f>+SUMIF('13.mell_ÖNKfeladatok2020'!$B$5:$B$158,'14.mell_Önk kiegészítés2020'!$A58,'13.mell_ÖNKfeladatok2020'!I$5:I$158)</f>
        <v>0</v>
      </c>
      <c r="D58" s="992">
        <f>+SUMIF('13.mell_ÖNKfeladatok2020'!$B$5:$B$158,'14.mell_Önk kiegészítés2020'!$A58,'13.mell_ÖNKfeladatok2020'!J$5:J$158)</f>
        <v>0</v>
      </c>
      <c r="E58" s="992">
        <f>+SUMIF('13.mell_ÖNKfeladatok2020'!$B$5:$B$158,'14.mell_Önk kiegészítés2020'!$A58,'13.mell_ÖNKfeladatok2020'!K$5:K$158)</f>
        <v>0</v>
      </c>
      <c r="F58" s="992">
        <f>+SUMIF('13.mell_ÖNKfeladatok2020'!$B$5:$B$158,'14.mell_Önk kiegészítés2020'!$A58,'13.mell_ÖNKfeladatok2020'!L$5:L$158)</f>
        <v>0</v>
      </c>
      <c r="G58" s="992">
        <f>+SUMIF('13.mell_ÖNKfeladatok2020'!$B$5:$B$158,'14.mell_Önk kiegészítés2020'!$A58,'13.mell_ÖNKfeladatok2020'!N$5:N$158)</f>
        <v>0</v>
      </c>
      <c r="H58" s="992">
        <f>+SUMIF('13.mell_ÖNKfeladatok2020'!$B$5:$B$158,'14.mell_Önk kiegészítés2020'!$A58,'13.mell_ÖNKfeladatok2020'!O$5:O$158)</f>
        <v>0</v>
      </c>
      <c r="I58" s="992">
        <f>+SUMIF('13.mell_ÖNKfeladatok2020'!$B$5:$B$158,'14.mell_Önk kiegészítés2020'!$A58,'13.mell_ÖNKfeladatok2020'!P$5:P$158)</f>
        <v>0</v>
      </c>
      <c r="J58" s="993">
        <f>SUM(C58:I58)</f>
        <v>0</v>
      </c>
      <c r="K58" s="992">
        <f>+SUMIF('13.mell_ÖNKfeladatok2020'!$B$166:$B$319,'14.mell_Önk kiegészítés2020'!$A58,'13.mell_ÖNKfeladatok2020'!I$166:I$319)</f>
        <v>0</v>
      </c>
      <c r="L58" s="992">
        <f>+SUMIF('13.mell_ÖNKfeladatok2020'!$B$166:$B$319,'14.mell_Önk kiegészítés2020'!$A58,'13.mell_ÖNKfeladatok2020'!J$166:J$319)</f>
        <v>0</v>
      </c>
      <c r="M58" s="992">
        <f>+SUMIF('13.mell_ÖNKfeladatok2020'!$B$166:$B$319,'14.mell_Önk kiegészítés2020'!$A58,'13.mell_ÖNKfeladatok2020'!K$166:K$319)</f>
        <v>0</v>
      </c>
      <c r="N58" s="992">
        <f>+SUMIF('13.mell_ÖNKfeladatok2020'!$B$166:$B$319,'14.mell_Önk kiegészítés2020'!$A58,'13.mell_ÖNKfeladatok2020'!L$166:L$319)</f>
        <v>0</v>
      </c>
      <c r="O58" s="992">
        <f>+SUMIF('13.mell_ÖNKfeladatok2020'!$B$166:$B$319,'14.mell_Önk kiegészítés2020'!$A58,'13.mell_ÖNKfeladatok2020'!M$166:M$319)</f>
        <v>0</v>
      </c>
      <c r="P58" s="992">
        <f>+SUMIF('13.mell_ÖNKfeladatok2020'!$B$166:$B$319,'14.mell_Önk kiegészítés2020'!$A58,'13.mell_ÖNKfeladatok2020'!O$166:O$319)</f>
        <v>0</v>
      </c>
      <c r="Q58" s="992">
        <f>+SUMIF('13.mell_ÖNKfeladatok2020'!$B$166:$B$319,'14.mell_Önk kiegészítés2020'!$A58,'13.mell_ÖNKfeladatok2020'!P$166:P$319)</f>
        <v>0</v>
      </c>
      <c r="R58" s="992">
        <f>+SUMIF('13.mell_ÖNKfeladatok2020'!$B$166:$B$319,'14.mell_Önk kiegészítés2020'!$A58,'13.mell_ÖNKfeladatok2020'!Q$166:Q$319)</f>
        <v>0</v>
      </c>
      <c r="S58" s="993">
        <f>SUM(K58:R58)</f>
        <v>0</v>
      </c>
      <c r="T58" s="638">
        <f>S58-J58</f>
        <v>0</v>
      </c>
      <c r="U58" s="1487">
        <f>+ROUND(SUMIF('10.mell_támogatások2020'!$B$6:$B$137,'14.mell_Önk kiegészítés2020'!$A58,'10.mell_támogatások2020'!D$6:D$137)/1000,0)</f>
        <v>0</v>
      </c>
      <c r="V58" s="1442"/>
      <c r="W58" s="638">
        <f>+T58-U58-V58</f>
        <v>0</v>
      </c>
    </row>
    <row r="59" spans="1:42" s="621" customFormat="1" ht="12.75" thickBot="1">
      <c r="A59" s="580" t="s">
        <v>887</v>
      </c>
      <c r="B59" s="581" t="s">
        <v>888</v>
      </c>
      <c r="C59" s="635">
        <f>SUM(C58)</f>
        <v>0</v>
      </c>
      <c r="D59" s="635">
        <f t="shared" ref="D59:W59" si="45">SUM(D58)</f>
        <v>0</v>
      </c>
      <c r="E59" s="635">
        <f t="shared" si="45"/>
        <v>0</v>
      </c>
      <c r="F59" s="635">
        <f t="shared" si="45"/>
        <v>0</v>
      </c>
      <c r="G59" s="635">
        <f t="shared" si="45"/>
        <v>0</v>
      </c>
      <c r="H59" s="635">
        <f t="shared" si="45"/>
        <v>0</v>
      </c>
      <c r="I59" s="635">
        <f t="shared" si="45"/>
        <v>0</v>
      </c>
      <c r="J59" s="638">
        <f t="shared" si="45"/>
        <v>0</v>
      </c>
      <c r="K59" s="635">
        <f t="shared" si="45"/>
        <v>0</v>
      </c>
      <c r="L59" s="635">
        <f t="shared" si="45"/>
        <v>0</v>
      </c>
      <c r="M59" s="635">
        <f t="shared" si="45"/>
        <v>0</v>
      </c>
      <c r="N59" s="635">
        <f t="shared" si="45"/>
        <v>0</v>
      </c>
      <c r="O59" s="635">
        <f t="shared" si="45"/>
        <v>0</v>
      </c>
      <c r="P59" s="635">
        <f t="shared" si="45"/>
        <v>0</v>
      </c>
      <c r="Q59" s="635">
        <f t="shared" si="45"/>
        <v>0</v>
      </c>
      <c r="R59" s="635">
        <f t="shared" si="45"/>
        <v>0</v>
      </c>
      <c r="S59" s="638">
        <f t="shared" si="45"/>
        <v>0</v>
      </c>
      <c r="T59" s="638">
        <f t="shared" si="45"/>
        <v>0</v>
      </c>
      <c r="U59" s="1481">
        <f t="shared" si="45"/>
        <v>0</v>
      </c>
      <c r="V59" s="639">
        <f t="shared" ref="V59" si="46">SUM(V58)</f>
        <v>0</v>
      </c>
      <c r="W59" s="638">
        <f t="shared" si="45"/>
        <v>0</v>
      </c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</row>
    <row r="60" spans="1:42" s="621" customFormat="1" ht="12.75" thickBot="1">
      <c r="A60" s="568" t="s">
        <v>552</v>
      </c>
      <c r="B60" s="585" t="s">
        <v>862</v>
      </c>
      <c r="C60" s="644">
        <f>+C55+C57+C59</f>
        <v>3240</v>
      </c>
      <c r="D60" s="644">
        <f t="shared" ref="D60:W60" si="47">+D55+D57+D59</f>
        <v>17553</v>
      </c>
      <c r="E60" s="644">
        <f t="shared" si="47"/>
        <v>0</v>
      </c>
      <c r="F60" s="644">
        <f t="shared" si="47"/>
        <v>0</v>
      </c>
      <c r="G60" s="644">
        <f t="shared" si="47"/>
        <v>0</v>
      </c>
      <c r="H60" s="644">
        <f t="shared" si="47"/>
        <v>0</v>
      </c>
      <c r="I60" s="644">
        <f t="shared" si="47"/>
        <v>0</v>
      </c>
      <c r="J60" s="647">
        <f t="shared" si="47"/>
        <v>20793</v>
      </c>
      <c r="K60" s="644">
        <f t="shared" si="47"/>
        <v>9352</v>
      </c>
      <c r="L60" s="644">
        <f t="shared" si="47"/>
        <v>1371</v>
      </c>
      <c r="M60" s="644">
        <f t="shared" si="47"/>
        <v>1056</v>
      </c>
      <c r="N60" s="644">
        <f t="shared" si="47"/>
        <v>0</v>
      </c>
      <c r="O60" s="644">
        <f t="shared" si="47"/>
        <v>8014</v>
      </c>
      <c r="P60" s="644">
        <f t="shared" si="47"/>
        <v>1000</v>
      </c>
      <c r="Q60" s="644">
        <f t="shared" si="47"/>
        <v>0</v>
      </c>
      <c r="R60" s="644">
        <f t="shared" si="47"/>
        <v>0</v>
      </c>
      <c r="S60" s="647">
        <f t="shared" si="47"/>
        <v>20793</v>
      </c>
      <c r="T60" s="647">
        <f t="shared" si="47"/>
        <v>0</v>
      </c>
      <c r="U60" s="1483">
        <f t="shared" si="47"/>
        <v>0</v>
      </c>
      <c r="V60" s="646">
        <f t="shared" ref="V60" si="48">+V55+V57+V59</f>
        <v>0</v>
      </c>
      <c r="W60" s="647">
        <f t="shared" si="47"/>
        <v>0</v>
      </c>
      <c r="Y60" s="621">
        <f>+'13.mell_ÖNKfeladatok2020'!G144-J60</f>
        <v>0</v>
      </c>
      <c r="Z60" s="621">
        <f>+'13.mell_ÖNKfeladatok2020'!G305-S60</f>
        <v>0</v>
      </c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</row>
    <row r="61" spans="1:42" s="224" customFormat="1" ht="12.75" thickBot="1">
      <c r="A61" s="606"/>
      <c r="B61" s="659"/>
      <c r="C61" s="648"/>
      <c r="D61" s="649"/>
      <c r="E61" s="649"/>
      <c r="F61" s="649"/>
      <c r="G61" s="649"/>
      <c r="H61" s="649"/>
      <c r="I61" s="650"/>
      <c r="J61" s="651"/>
      <c r="K61" s="660"/>
      <c r="L61" s="660"/>
      <c r="M61" s="660"/>
      <c r="N61" s="660"/>
      <c r="O61" s="660"/>
      <c r="P61" s="660"/>
      <c r="Q61" s="660"/>
      <c r="R61" s="660"/>
      <c r="S61" s="658"/>
      <c r="T61" s="658"/>
      <c r="U61" s="1489"/>
      <c r="V61" s="1444"/>
      <c r="W61" s="658"/>
      <c r="AB61" s="225"/>
      <c r="AC61" s="225"/>
      <c r="AD61" s="225"/>
      <c r="AE61" s="225"/>
      <c r="AF61" s="225"/>
      <c r="AG61" s="225"/>
      <c r="AH61" s="225"/>
      <c r="AI61" s="225"/>
      <c r="AJ61" s="225"/>
      <c r="AK61" s="225"/>
      <c r="AL61" s="225"/>
      <c r="AM61" s="225"/>
      <c r="AN61" s="225"/>
      <c r="AO61" s="225"/>
      <c r="AP61" s="225"/>
    </row>
    <row r="62" spans="1:42" ht="12.75" thickBot="1">
      <c r="A62" s="938">
        <f>+A58+1</f>
        <v>32</v>
      </c>
      <c r="B62" s="818" t="s">
        <v>1152</v>
      </c>
      <c r="C62" s="983">
        <f>+SUMIF('13.mell_ÖNKfeladatok2020'!$B$5:$B$158,'14.mell_Önk kiegészítés2020'!$A62,'13.mell_ÖNKfeladatok2020'!I$5:I$158)</f>
        <v>0</v>
      </c>
      <c r="D62" s="983">
        <f>+SUMIF('13.mell_ÖNKfeladatok2020'!$B$5:$B$158,'14.mell_Önk kiegészítés2020'!$A62,'13.mell_ÖNKfeladatok2020'!J$5:J$158)</f>
        <v>0</v>
      </c>
      <c r="E62" s="983">
        <f>+SUMIF('13.mell_ÖNKfeladatok2020'!$B$5:$B$158,'14.mell_Önk kiegészítés2020'!$A62,'13.mell_ÖNKfeladatok2020'!K$5:K$158)</f>
        <v>0</v>
      </c>
      <c r="F62" s="983">
        <f>+SUMIF('13.mell_ÖNKfeladatok2020'!$B$5:$B$158,'14.mell_Önk kiegészítés2020'!$A62,'13.mell_ÖNKfeladatok2020'!L$5:L$158)</f>
        <v>0</v>
      </c>
      <c r="G62" s="983">
        <f>+SUMIF('13.mell_ÖNKfeladatok2020'!$B$5:$B$158,'14.mell_Önk kiegészítés2020'!$A62,'13.mell_ÖNKfeladatok2020'!N$5:N$158)</f>
        <v>0</v>
      </c>
      <c r="H62" s="983">
        <f>+SUMIF('13.mell_ÖNKfeladatok2020'!$B$5:$B$158,'14.mell_Önk kiegészítés2020'!$A62,'13.mell_ÖNKfeladatok2020'!O$5:O$158)</f>
        <v>0</v>
      </c>
      <c r="I62" s="983">
        <f>+SUMIF('13.mell_ÖNKfeladatok2020'!$B$5:$B$158,'14.mell_Önk kiegészítés2020'!$A62,'13.mell_ÖNKfeladatok2020'!P$5:P$158)</f>
        <v>0</v>
      </c>
      <c r="J62" s="819">
        <f>SUM(C62:I62)</f>
        <v>0</v>
      </c>
      <c r="K62" s="983">
        <f>+SUMIF('13.mell_ÖNKfeladatok2020'!$B$166:$B$319,'14.mell_Önk kiegészítés2020'!$A62,'13.mell_ÖNKfeladatok2020'!I$166:I$319)</f>
        <v>61539</v>
      </c>
      <c r="L62" s="983">
        <f>+SUMIF('13.mell_ÖNKfeladatok2020'!$B$166:$B$319,'14.mell_Önk kiegészítés2020'!$A62,'13.mell_ÖNKfeladatok2020'!J$166:J$319)</f>
        <v>10823</v>
      </c>
      <c r="M62" s="983">
        <f>+SUMIF('13.mell_ÖNKfeladatok2020'!$B$166:$B$319,'14.mell_Önk kiegészítés2020'!$A62,'13.mell_ÖNKfeladatok2020'!K$166:K$319)</f>
        <v>11238</v>
      </c>
      <c r="N62" s="983">
        <f>+SUMIF('13.mell_ÖNKfeladatok2020'!$B$166:$B$319,'14.mell_Önk kiegészítés2020'!$A62,'13.mell_ÖNKfeladatok2020'!L$166:L$319)</f>
        <v>0</v>
      </c>
      <c r="O62" s="983">
        <f>+SUMIF('13.mell_ÖNKfeladatok2020'!$B$166:$B$319,'14.mell_Önk kiegészítés2020'!$A62,'13.mell_ÖNKfeladatok2020'!M$166:M$319)</f>
        <v>0</v>
      </c>
      <c r="P62" s="983">
        <f>+SUMIF('13.mell_ÖNKfeladatok2020'!$B$166:$B$319,'14.mell_Önk kiegészítés2020'!$A62,'13.mell_ÖNKfeladatok2020'!O$166:O$319)</f>
        <v>0</v>
      </c>
      <c r="Q62" s="983">
        <f>+SUMIF('13.mell_ÖNKfeladatok2020'!$B$166:$B$319,'14.mell_Önk kiegészítés2020'!$A62,'13.mell_ÖNKfeladatok2020'!P$166:P$319)</f>
        <v>0</v>
      </c>
      <c r="R62" s="983">
        <f>+SUMIF('13.mell_ÖNKfeladatok2020'!$B$166:$B$319,'14.mell_Önk kiegészítés2020'!$A62,'13.mell_ÖNKfeladatok2020'!Q$166:Q$319)</f>
        <v>0</v>
      </c>
      <c r="S62" s="819">
        <f>SUM(K62:R62)</f>
        <v>83600</v>
      </c>
      <c r="T62" s="820">
        <f>S62-J62</f>
        <v>83600</v>
      </c>
      <c r="U62" s="1484">
        <f>+ROUND(SUMIF('10.mell_támogatások2020'!$B$6:$B$137,'14.mell_Önk kiegészítés2020'!$A62,'10.mell_támogatások2020'!D$6:D$137)/1000,0)</f>
        <v>73899</v>
      </c>
      <c r="V62" s="1439">
        <v>6630</v>
      </c>
      <c r="W62" s="820">
        <f>+T62-U62-V62</f>
        <v>3071</v>
      </c>
      <c r="AE62" s="296">
        <v>6630</v>
      </c>
    </row>
    <row r="63" spans="1:42" s="621" customFormat="1" ht="12.75" thickBot="1">
      <c r="A63" s="392" t="s">
        <v>1141</v>
      </c>
      <c r="B63" s="565" t="s">
        <v>1098</v>
      </c>
      <c r="C63" s="635">
        <f t="shared" ref="C63:W63" si="49">SUM(C62)</f>
        <v>0</v>
      </c>
      <c r="D63" s="635">
        <f t="shared" si="49"/>
        <v>0</v>
      </c>
      <c r="E63" s="635">
        <f t="shared" si="49"/>
        <v>0</v>
      </c>
      <c r="F63" s="635">
        <f t="shared" si="49"/>
        <v>0</v>
      </c>
      <c r="G63" s="635">
        <f t="shared" si="49"/>
        <v>0</v>
      </c>
      <c r="H63" s="635">
        <f t="shared" si="49"/>
        <v>0</v>
      </c>
      <c r="I63" s="635">
        <f t="shared" si="49"/>
        <v>0</v>
      </c>
      <c r="J63" s="638">
        <f t="shared" si="49"/>
        <v>0</v>
      </c>
      <c r="K63" s="635">
        <f t="shared" si="49"/>
        <v>61539</v>
      </c>
      <c r="L63" s="635">
        <f t="shared" si="49"/>
        <v>10823</v>
      </c>
      <c r="M63" s="635">
        <f t="shared" si="49"/>
        <v>11238</v>
      </c>
      <c r="N63" s="635">
        <f t="shared" si="49"/>
        <v>0</v>
      </c>
      <c r="O63" s="635">
        <f t="shared" si="49"/>
        <v>0</v>
      </c>
      <c r="P63" s="635">
        <f t="shared" si="49"/>
        <v>0</v>
      </c>
      <c r="Q63" s="635">
        <f t="shared" si="49"/>
        <v>0</v>
      </c>
      <c r="R63" s="635">
        <f t="shared" si="49"/>
        <v>0</v>
      </c>
      <c r="S63" s="638">
        <f t="shared" si="49"/>
        <v>83600</v>
      </c>
      <c r="T63" s="638">
        <f t="shared" si="49"/>
        <v>83600</v>
      </c>
      <c r="U63" s="1481">
        <f t="shared" si="49"/>
        <v>73899</v>
      </c>
      <c r="V63" s="639">
        <f t="shared" ref="V63" si="50">SUM(V62)</f>
        <v>6630</v>
      </c>
      <c r="W63" s="638">
        <f t="shared" si="49"/>
        <v>3071</v>
      </c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</row>
    <row r="64" spans="1:42" ht="12.75" thickBot="1">
      <c r="A64" s="990">
        <f>+A62+1</f>
        <v>33</v>
      </c>
      <c r="B64" s="991" t="s">
        <v>1100</v>
      </c>
      <c r="C64" s="992">
        <f>+SUMIF('13.mell_ÖNKfeladatok2020'!$B$5:$B$158,'14.mell_Önk kiegészítés2020'!$A64,'13.mell_ÖNKfeladatok2020'!I$5:I$158)</f>
        <v>0</v>
      </c>
      <c r="D64" s="992">
        <f>+SUMIF('13.mell_ÖNKfeladatok2020'!$B$5:$B$158,'14.mell_Önk kiegészítés2020'!$A64,'13.mell_ÖNKfeladatok2020'!J$5:J$158)</f>
        <v>0</v>
      </c>
      <c r="E64" s="992">
        <f>+SUMIF('13.mell_ÖNKfeladatok2020'!$B$5:$B$158,'14.mell_Önk kiegészítés2020'!$A64,'13.mell_ÖNKfeladatok2020'!K$5:K$158)</f>
        <v>0</v>
      </c>
      <c r="F64" s="992">
        <f>+SUMIF('13.mell_ÖNKfeladatok2020'!$B$5:$B$158,'14.mell_Önk kiegészítés2020'!$A64,'13.mell_ÖNKfeladatok2020'!L$5:L$158)</f>
        <v>0</v>
      </c>
      <c r="G64" s="992">
        <f>+SUMIF('13.mell_ÖNKfeladatok2020'!$B$5:$B$158,'14.mell_Önk kiegészítés2020'!$A64,'13.mell_ÖNKfeladatok2020'!N$5:N$158)</f>
        <v>0</v>
      </c>
      <c r="H64" s="992">
        <f>+SUMIF('13.mell_ÖNKfeladatok2020'!$B$5:$B$158,'14.mell_Önk kiegészítés2020'!$A64,'13.mell_ÖNKfeladatok2020'!O$5:O$158)</f>
        <v>0</v>
      </c>
      <c r="I64" s="992">
        <f>+SUMIF('13.mell_ÖNKfeladatok2020'!$B$5:$B$158,'14.mell_Önk kiegészítés2020'!$A64,'13.mell_ÖNKfeladatok2020'!P$5:P$158)</f>
        <v>0</v>
      </c>
      <c r="J64" s="993">
        <f>SUM(C64:I64)</f>
        <v>0</v>
      </c>
      <c r="K64" s="992">
        <f>+SUMIF('13.mell_ÖNKfeladatok2020'!$B$166:$B$319,'14.mell_Önk kiegészítés2020'!$A64,'13.mell_ÖNKfeladatok2020'!I$166:I$319)</f>
        <v>0</v>
      </c>
      <c r="L64" s="992">
        <f>+SUMIF('13.mell_ÖNKfeladatok2020'!$B$166:$B$319,'14.mell_Önk kiegészítés2020'!$A64,'13.mell_ÖNKfeladatok2020'!J$166:J$319)</f>
        <v>0</v>
      </c>
      <c r="M64" s="992">
        <f>+SUMIF('13.mell_ÖNKfeladatok2020'!$B$166:$B$319,'14.mell_Önk kiegészítés2020'!$A64,'13.mell_ÖNKfeladatok2020'!K$166:K$319)</f>
        <v>0</v>
      </c>
      <c r="N64" s="992">
        <f>+SUMIF('13.mell_ÖNKfeladatok2020'!$B$166:$B$319,'14.mell_Önk kiegészítés2020'!$A64,'13.mell_ÖNKfeladatok2020'!L$166:L$319)</f>
        <v>0</v>
      </c>
      <c r="O64" s="992">
        <f>+SUMIF('13.mell_ÖNKfeladatok2020'!$B$166:$B$319,'14.mell_Önk kiegészítés2020'!$A64,'13.mell_ÖNKfeladatok2020'!M$166:M$319)</f>
        <v>0</v>
      </c>
      <c r="P64" s="992">
        <f>+SUMIF('13.mell_ÖNKfeladatok2020'!$B$166:$B$319,'14.mell_Önk kiegészítés2020'!$A64,'13.mell_ÖNKfeladatok2020'!O$166:O$319)</f>
        <v>0</v>
      </c>
      <c r="Q64" s="992">
        <f>+SUMIF('13.mell_ÖNKfeladatok2020'!$B$166:$B$319,'14.mell_Önk kiegészítés2020'!$A64,'13.mell_ÖNKfeladatok2020'!P$166:P$319)</f>
        <v>0</v>
      </c>
      <c r="R64" s="992">
        <f>+SUMIF('13.mell_ÖNKfeladatok2020'!$B$166:$B$319,'14.mell_Önk kiegészítés2020'!$A64,'13.mell_ÖNKfeladatok2020'!Q$166:Q$319)</f>
        <v>0</v>
      </c>
      <c r="S64" s="993">
        <f>SUM(K64:R64)</f>
        <v>0</v>
      </c>
      <c r="T64" s="638">
        <f>S64-J64</f>
        <v>0</v>
      </c>
      <c r="U64" s="1487">
        <f>+ROUND(SUMIF('10.mell_támogatások2020'!$B$6:$B$137,'14.mell_Önk kiegészítés2020'!$A64,'10.mell_támogatások2020'!D$6:D$137)/1000,0)</f>
        <v>0</v>
      </c>
      <c r="V64" s="1442"/>
      <c r="W64" s="638">
        <f>+T64-U64-V64</f>
        <v>0</v>
      </c>
    </row>
    <row r="65" spans="1:42" s="621" customFormat="1" ht="12.75" thickBot="1">
      <c r="A65" s="580" t="s">
        <v>1142</v>
      </c>
      <c r="B65" s="581" t="s">
        <v>1099</v>
      </c>
      <c r="C65" s="635">
        <f t="shared" ref="C65:W65" si="51">SUM(C64)</f>
        <v>0</v>
      </c>
      <c r="D65" s="635">
        <f t="shared" si="51"/>
        <v>0</v>
      </c>
      <c r="E65" s="635">
        <f t="shared" si="51"/>
        <v>0</v>
      </c>
      <c r="F65" s="635">
        <f t="shared" si="51"/>
        <v>0</v>
      </c>
      <c r="G65" s="635">
        <f t="shared" si="51"/>
        <v>0</v>
      </c>
      <c r="H65" s="635">
        <f t="shared" si="51"/>
        <v>0</v>
      </c>
      <c r="I65" s="635">
        <f t="shared" si="51"/>
        <v>0</v>
      </c>
      <c r="J65" s="638">
        <f t="shared" si="51"/>
        <v>0</v>
      </c>
      <c r="K65" s="635">
        <f t="shared" si="51"/>
        <v>0</v>
      </c>
      <c r="L65" s="635">
        <f t="shared" si="51"/>
        <v>0</v>
      </c>
      <c r="M65" s="635">
        <f t="shared" si="51"/>
        <v>0</v>
      </c>
      <c r="N65" s="635">
        <f t="shared" si="51"/>
        <v>0</v>
      </c>
      <c r="O65" s="635">
        <f t="shared" si="51"/>
        <v>0</v>
      </c>
      <c r="P65" s="635">
        <f t="shared" si="51"/>
        <v>0</v>
      </c>
      <c r="Q65" s="635">
        <f t="shared" si="51"/>
        <v>0</v>
      </c>
      <c r="R65" s="635">
        <f t="shared" si="51"/>
        <v>0</v>
      </c>
      <c r="S65" s="638">
        <f t="shared" si="51"/>
        <v>0</v>
      </c>
      <c r="T65" s="638">
        <f t="shared" si="51"/>
        <v>0</v>
      </c>
      <c r="U65" s="1481">
        <f t="shared" si="51"/>
        <v>0</v>
      </c>
      <c r="V65" s="639">
        <f t="shared" ref="V65" si="52">SUM(V64)</f>
        <v>0</v>
      </c>
      <c r="W65" s="638">
        <f t="shared" si="51"/>
        <v>0</v>
      </c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</row>
    <row r="66" spans="1:42" ht="12.75" thickBot="1">
      <c r="A66" s="990">
        <f>+A64+1</f>
        <v>34</v>
      </c>
      <c r="B66" s="991" t="s">
        <v>1100</v>
      </c>
      <c r="C66" s="992">
        <f>+SUMIF('13.mell_ÖNKfeladatok2020'!$B$5:$B$158,'14.mell_Önk kiegészítés2020'!$A66,'13.mell_ÖNKfeladatok2020'!I$5:I$158)</f>
        <v>0</v>
      </c>
      <c r="D66" s="992">
        <f>+SUMIF('13.mell_ÖNKfeladatok2020'!$B$5:$B$158,'14.mell_Önk kiegészítés2020'!$A66,'13.mell_ÖNKfeladatok2020'!J$5:J$158)</f>
        <v>0</v>
      </c>
      <c r="E66" s="992">
        <f>+SUMIF('13.mell_ÖNKfeladatok2020'!$B$5:$B$158,'14.mell_Önk kiegészítés2020'!$A66,'13.mell_ÖNKfeladatok2020'!K$5:K$158)</f>
        <v>0</v>
      </c>
      <c r="F66" s="992">
        <f>+SUMIF('13.mell_ÖNKfeladatok2020'!$B$5:$B$158,'14.mell_Önk kiegészítés2020'!$A66,'13.mell_ÖNKfeladatok2020'!L$5:L$158)</f>
        <v>0</v>
      </c>
      <c r="G66" s="992">
        <f>+SUMIF('13.mell_ÖNKfeladatok2020'!$B$5:$B$158,'14.mell_Önk kiegészítés2020'!$A66,'13.mell_ÖNKfeladatok2020'!N$5:N$158)</f>
        <v>0</v>
      </c>
      <c r="H66" s="992">
        <f>+SUMIF('13.mell_ÖNKfeladatok2020'!$B$5:$B$158,'14.mell_Önk kiegészítés2020'!$A66,'13.mell_ÖNKfeladatok2020'!O$5:O$158)</f>
        <v>0</v>
      </c>
      <c r="I66" s="992">
        <f>+SUMIF('13.mell_ÖNKfeladatok2020'!$B$5:$B$158,'14.mell_Önk kiegészítés2020'!$A66,'13.mell_ÖNKfeladatok2020'!P$5:P$158)</f>
        <v>0</v>
      </c>
      <c r="J66" s="993">
        <f>SUM(C66:I66)</f>
        <v>0</v>
      </c>
      <c r="K66" s="992">
        <f>+SUMIF('13.mell_ÖNKfeladatok2020'!$B$166:$B$319,'14.mell_Önk kiegészítés2020'!$A66,'13.mell_ÖNKfeladatok2020'!I$166:I$319)</f>
        <v>0</v>
      </c>
      <c r="L66" s="992">
        <f>+SUMIF('13.mell_ÖNKfeladatok2020'!$B$166:$B$319,'14.mell_Önk kiegészítés2020'!$A66,'13.mell_ÖNKfeladatok2020'!J$166:J$319)</f>
        <v>0</v>
      </c>
      <c r="M66" s="992">
        <f>+SUMIF('13.mell_ÖNKfeladatok2020'!$B$166:$B$319,'14.mell_Önk kiegészítés2020'!$A66,'13.mell_ÖNKfeladatok2020'!K$166:K$319)</f>
        <v>0</v>
      </c>
      <c r="N66" s="992">
        <f>+SUMIF('13.mell_ÖNKfeladatok2020'!$B$166:$B$319,'14.mell_Önk kiegészítés2020'!$A66,'13.mell_ÖNKfeladatok2020'!L$166:L$319)</f>
        <v>0</v>
      </c>
      <c r="O66" s="992">
        <f>+SUMIF('13.mell_ÖNKfeladatok2020'!$B$166:$B$319,'14.mell_Önk kiegészítés2020'!$A66,'13.mell_ÖNKfeladatok2020'!M$166:M$319)</f>
        <v>0</v>
      </c>
      <c r="P66" s="992">
        <f>+SUMIF('13.mell_ÖNKfeladatok2020'!$B$166:$B$319,'14.mell_Önk kiegészítés2020'!$A66,'13.mell_ÖNKfeladatok2020'!O$166:O$319)</f>
        <v>0</v>
      </c>
      <c r="Q66" s="992">
        <f>+SUMIF('13.mell_ÖNKfeladatok2020'!$B$166:$B$319,'14.mell_Önk kiegészítés2020'!$A66,'13.mell_ÖNKfeladatok2020'!P$166:P$319)</f>
        <v>0</v>
      </c>
      <c r="R66" s="992">
        <f>+SUMIF('13.mell_ÖNKfeladatok2020'!$B$166:$B$319,'14.mell_Önk kiegészítés2020'!$A66,'13.mell_ÖNKfeladatok2020'!Q$166:Q$319)</f>
        <v>0</v>
      </c>
      <c r="S66" s="993">
        <f>SUM(K66:R66)</f>
        <v>0</v>
      </c>
      <c r="T66" s="638">
        <f>S66-J66</f>
        <v>0</v>
      </c>
      <c r="U66" s="1487">
        <f>+ROUND(SUMIF('10.mell_támogatások2020'!$B$6:$B$137,'14.mell_Önk kiegészítés2020'!$A66,'10.mell_támogatások2020'!D$6:D$137)/1000,0)</f>
        <v>0</v>
      </c>
      <c r="V66" s="1442"/>
      <c r="W66" s="638">
        <f>+T66-U66-V66</f>
        <v>0</v>
      </c>
    </row>
    <row r="67" spans="1:42" s="621" customFormat="1" ht="24.75" thickBot="1">
      <c r="A67" s="580" t="s">
        <v>1143</v>
      </c>
      <c r="B67" s="581" t="s">
        <v>1100</v>
      </c>
      <c r="C67" s="635">
        <f t="shared" ref="C67:W67" si="53">SUM(C66)</f>
        <v>0</v>
      </c>
      <c r="D67" s="635">
        <f t="shared" si="53"/>
        <v>0</v>
      </c>
      <c r="E67" s="635">
        <f t="shared" si="53"/>
        <v>0</v>
      </c>
      <c r="F67" s="635">
        <f t="shared" si="53"/>
        <v>0</v>
      </c>
      <c r="G67" s="635">
        <f t="shared" si="53"/>
        <v>0</v>
      </c>
      <c r="H67" s="635">
        <f t="shared" si="53"/>
        <v>0</v>
      </c>
      <c r="I67" s="635">
        <f t="shared" si="53"/>
        <v>0</v>
      </c>
      <c r="J67" s="638">
        <f t="shared" si="53"/>
        <v>0</v>
      </c>
      <c r="K67" s="635">
        <f t="shared" si="53"/>
        <v>0</v>
      </c>
      <c r="L67" s="635">
        <f t="shared" si="53"/>
        <v>0</v>
      </c>
      <c r="M67" s="635">
        <f t="shared" si="53"/>
        <v>0</v>
      </c>
      <c r="N67" s="635">
        <f t="shared" si="53"/>
        <v>0</v>
      </c>
      <c r="O67" s="635">
        <f t="shared" si="53"/>
        <v>0</v>
      </c>
      <c r="P67" s="635">
        <f t="shared" si="53"/>
        <v>0</v>
      </c>
      <c r="Q67" s="635">
        <f t="shared" si="53"/>
        <v>0</v>
      </c>
      <c r="R67" s="635">
        <f t="shared" si="53"/>
        <v>0</v>
      </c>
      <c r="S67" s="638">
        <f t="shared" si="53"/>
        <v>0</v>
      </c>
      <c r="T67" s="638">
        <f t="shared" si="53"/>
        <v>0</v>
      </c>
      <c r="U67" s="1481">
        <f t="shared" si="53"/>
        <v>0</v>
      </c>
      <c r="V67" s="639">
        <f t="shared" ref="V67" si="54">SUM(V66)</f>
        <v>0</v>
      </c>
      <c r="W67" s="638">
        <f t="shared" si="53"/>
        <v>0</v>
      </c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</row>
    <row r="68" spans="1:42" s="621" customFormat="1" ht="12.75" thickBot="1">
      <c r="A68" s="568" t="s">
        <v>42</v>
      </c>
      <c r="B68" s="585" t="s">
        <v>1101</v>
      </c>
      <c r="C68" s="644">
        <f t="shared" ref="C68:W68" si="55">+C63+C65+C67</f>
        <v>0</v>
      </c>
      <c r="D68" s="644">
        <f t="shared" si="55"/>
        <v>0</v>
      </c>
      <c r="E68" s="644">
        <f t="shared" si="55"/>
        <v>0</v>
      </c>
      <c r="F68" s="644">
        <f t="shared" si="55"/>
        <v>0</v>
      </c>
      <c r="G68" s="644">
        <f t="shared" si="55"/>
        <v>0</v>
      </c>
      <c r="H68" s="644">
        <f t="shared" si="55"/>
        <v>0</v>
      </c>
      <c r="I68" s="644">
        <f t="shared" si="55"/>
        <v>0</v>
      </c>
      <c r="J68" s="647">
        <f t="shared" si="55"/>
        <v>0</v>
      </c>
      <c r="K68" s="644">
        <f t="shared" si="55"/>
        <v>61539</v>
      </c>
      <c r="L68" s="644">
        <f t="shared" si="55"/>
        <v>10823</v>
      </c>
      <c r="M68" s="644">
        <f t="shared" si="55"/>
        <v>11238</v>
      </c>
      <c r="N68" s="644">
        <f t="shared" si="55"/>
        <v>0</v>
      </c>
      <c r="O68" s="644">
        <f t="shared" si="55"/>
        <v>0</v>
      </c>
      <c r="P68" s="644">
        <f t="shared" si="55"/>
        <v>0</v>
      </c>
      <c r="Q68" s="644">
        <f t="shared" si="55"/>
        <v>0</v>
      </c>
      <c r="R68" s="644">
        <f t="shared" si="55"/>
        <v>0</v>
      </c>
      <c r="S68" s="647">
        <f t="shared" si="55"/>
        <v>83600</v>
      </c>
      <c r="T68" s="647">
        <f t="shared" si="55"/>
        <v>83600</v>
      </c>
      <c r="U68" s="1483">
        <f t="shared" si="55"/>
        <v>73899</v>
      </c>
      <c r="V68" s="646">
        <f t="shared" ref="V68" si="56">+V63+V65+V67</f>
        <v>6630</v>
      </c>
      <c r="W68" s="647">
        <f t="shared" si="55"/>
        <v>3071</v>
      </c>
      <c r="Y68" s="621">
        <f>+'13.mell_ÖNKfeladatok2020'!G156-J68</f>
        <v>0</v>
      </c>
      <c r="Z68" s="621">
        <f>+'13.mell_ÖNKfeladatok2020'!G317-S68</f>
        <v>0</v>
      </c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</row>
    <row r="69" spans="1:42" s="224" customFormat="1" ht="12.75" thickBot="1">
      <c r="A69" s="606"/>
      <c r="B69" s="659"/>
      <c r="C69" s="648"/>
      <c r="D69" s="649"/>
      <c r="E69" s="649"/>
      <c r="F69" s="649"/>
      <c r="G69" s="649"/>
      <c r="H69" s="649"/>
      <c r="I69" s="650"/>
      <c r="J69" s="651"/>
      <c r="K69" s="660"/>
      <c r="L69" s="660"/>
      <c r="M69" s="660"/>
      <c r="N69" s="660"/>
      <c r="O69" s="660"/>
      <c r="P69" s="660"/>
      <c r="Q69" s="660"/>
      <c r="R69" s="660"/>
      <c r="S69" s="658"/>
      <c r="T69" s="658"/>
      <c r="U69" s="1489"/>
      <c r="V69" s="1444"/>
      <c r="W69" s="658"/>
      <c r="AB69" s="225"/>
      <c r="AC69" s="225"/>
      <c r="AD69" s="225"/>
      <c r="AE69" s="225"/>
      <c r="AF69" s="225"/>
      <c r="AG69" s="225"/>
      <c r="AH69" s="225"/>
      <c r="AI69" s="225"/>
      <c r="AJ69" s="225"/>
      <c r="AK69" s="225"/>
      <c r="AL69" s="225"/>
      <c r="AM69" s="225"/>
      <c r="AN69" s="225"/>
      <c r="AO69" s="225"/>
      <c r="AP69" s="225"/>
    </row>
    <row r="70" spans="1:42" s="621" customFormat="1" ht="12.75" thickBot="1">
      <c r="A70" s="642" t="s">
        <v>41</v>
      </c>
      <c r="B70" s="643" t="s">
        <v>769</v>
      </c>
      <c r="C70" s="644">
        <f t="shared" ref="C70:W70" si="57">+C20+C32+C42+C52+C60+C68</f>
        <v>992226</v>
      </c>
      <c r="D70" s="644">
        <f t="shared" si="57"/>
        <v>414105</v>
      </c>
      <c r="E70" s="644">
        <f t="shared" si="57"/>
        <v>186868</v>
      </c>
      <c r="F70" s="644">
        <f t="shared" si="57"/>
        <v>0</v>
      </c>
      <c r="G70" s="644">
        <f t="shared" si="57"/>
        <v>32276</v>
      </c>
      <c r="H70" s="644">
        <f t="shared" si="57"/>
        <v>40350</v>
      </c>
      <c r="I70" s="644">
        <f t="shared" si="57"/>
        <v>1100</v>
      </c>
      <c r="J70" s="647">
        <f t="shared" si="57"/>
        <v>1666925</v>
      </c>
      <c r="K70" s="661">
        <f t="shared" si="57"/>
        <v>715534</v>
      </c>
      <c r="L70" s="661">
        <f t="shared" si="57"/>
        <v>130817</v>
      </c>
      <c r="M70" s="661">
        <f t="shared" si="57"/>
        <v>401997</v>
      </c>
      <c r="N70" s="661">
        <f t="shared" si="57"/>
        <v>52779</v>
      </c>
      <c r="O70" s="661">
        <f t="shared" si="57"/>
        <v>2717621</v>
      </c>
      <c r="P70" s="661">
        <f t="shared" si="57"/>
        <v>436722</v>
      </c>
      <c r="Q70" s="661">
        <f t="shared" si="57"/>
        <v>67258</v>
      </c>
      <c r="R70" s="661">
        <f t="shared" si="57"/>
        <v>0</v>
      </c>
      <c r="S70" s="662">
        <f t="shared" si="57"/>
        <v>4522728</v>
      </c>
      <c r="T70" s="662">
        <f t="shared" si="57"/>
        <v>2855803</v>
      </c>
      <c r="U70" s="1490">
        <f t="shared" si="57"/>
        <v>0</v>
      </c>
      <c r="V70" s="1445">
        <f t="shared" ref="V70" si="58">+V20+V32+V42+V52+V60+V68</f>
        <v>2845803</v>
      </c>
      <c r="W70" s="662">
        <f t="shared" si="57"/>
        <v>10000</v>
      </c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</row>
    <row r="71" spans="1:42" s="621" customFormat="1" ht="12.75" thickBot="1">
      <c r="A71" s="672" t="s">
        <v>37</v>
      </c>
      <c r="B71" s="664" t="s">
        <v>770</v>
      </c>
      <c r="C71" s="665"/>
      <c r="D71" s="665"/>
      <c r="E71" s="665"/>
      <c r="F71" s="665">
        <f>+'1.mell._Össz_Mérleg2020'!$C$71</f>
        <v>2876249</v>
      </c>
      <c r="G71" s="665"/>
      <c r="H71" s="665"/>
      <c r="I71" s="665">
        <f>+'1.mell._Össz_Mérleg2020'!$C$86</f>
        <v>10000</v>
      </c>
      <c r="J71" s="671">
        <f>SUM(C71:I71)</f>
        <v>2886249</v>
      </c>
      <c r="K71" s="665"/>
      <c r="L71" s="665"/>
      <c r="M71" s="665"/>
      <c r="N71" s="665"/>
      <c r="O71" s="665">
        <f>+'1.mell._Össz_Mérleg2020'!$C$177</f>
        <v>30446</v>
      </c>
      <c r="P71" s="665"/>
      <c r="Q71" s="665"/>
      <c r="R71" s="665">
        <f>+'1.mell._Össz_Mérleg2020'!$C$192</f>
        <v>0</v>
      </c>
      <c r="S71" s="671">
        <f>SUM(K71:R71)</f>
        <v>30446</v>
      </c>
      <c r="T71" s="666">
        <f>S71-J71</f>
        <v>-2855803</v>
      </c>
      <c r="U71" s="1491"/>
      <c r="V71" s="1446">
        <v>-2845803</v>
      </c>
      <c r="W71" s="666">
        <f>+T71-U71-V71</f>
        <v>-10000</v>
      </c>
      <c r="AB71" s="296"/>
      <c r="AC71" s="296">
        <v>-2845803</v>
      </c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</row>
    <row r="72" spans="1:42" s="224" customFormat="1" ht="12.75" thickBot="1">
      <c r="A72" s="642" t="s">
        <v>1146</v>
      </c>
      <c r="B72" s="643" t="s">
        <v>771</v>
      </c>
      <c r="C72" s="644">
        <f>+C70+C71</f>
        <v>992226</v>
      </c>
      <c r="D72" s="644">
        <f t="shared" ref="D72:I72" si="59">+D70+D71</f>
        <v>414105</v>
      </c>
      <c r="E72" s="644">
        <f t="shared" si="59"/>
        <v>186868</v>
      </c>
      <c r="F72" s="644">
        <f t="shared" si="59"/>
        <v>2876249</v>
      </c>
      <c r="G72" s="644">
        <f t="shared" si="59"/>
        <v>32276</v>
      </c>
      <c r="H72" s="644">
        <f t="shared" si="59"/>
        <v>40350</v>
      </c>
      <c r="I72" s="644">
        <f t="shared" si="59"/>
        <v>11100</v>
      </c>
      <c r="J72" s="647">
        <f>+J70+J71</f>
        <v>4553174</v>
      </c>
      <c r="K72" s="644">
        <f t="shared" ref="K72:W72" si="60">+K70+K71</f>
        <v>715534</v>
      </c>
      <c r="L72" s="644">
        <f t="shared" si="60"/>
        <v>130817</v>
      </c>
      <c r="M72" s="644">
        <f t="shared" si="60"/>
        <v>401997</v>
      </c>
      <c r="N72" s="644">
        <f t="shared" si="60"/>
        <v>52779</v>
      </c>
      <c r="O72" s="644">
        <f t="shared" si="60"/>
        <v>2748067</v>
      </c>
      <c r="P72" s="644">
        <f t="shared" si="60"/>
        <v>436722</v>
      </c>
      <c r="Q72" s="644">
        <f t="shared" si="60"/>
        <v>67258</v>
      </c>
      <c r="R72" s="644">
        <f t="shared" si="60"/>
        <v>0</v>
      </c>
      <c r="S72" s="647">
        <f t="shared" si="60"/>
        <v>4553174</v>
      </c>
      <c r="T72" s="647">
        <f t="shared" si="60"/>
        <v>0</v>
      </c>
      <c r="U72" s="1483">
        <f t="shared" si="60"/>
        <v>0</v>
      </c>
      <c r="V72" s="646">
        <f t="shared" ref="V72" si="61">+V70+V71</f>
        <v>0</v>
      </c>
      <c r="W72" s="647">
        <f t="shared" si="60"/>
        <v>0</v>
      </c>
      <c r="AB72" s="225"/>
      <c r="AC72" s="225"/>
      <c r="AD72" s="225"/>
      <c r="AE72" s="225"/>
      <c r="AF72" s="225"/>
      <c r="AG72" s="225"/>
      <c r="AH72" s="225"/>
      <c r="AI72" s="225"/>
      <c r="AJ72" s="225"/>
      <c r="AK72" s="225"/>
      <c r="AL72" s="225"/>
      <c r="AM72" s="225"/>
      <c r="AN72" s="225"/>
      <c r="AO72" s="225"/>
      <c r="AP72" s="225"/>
    </row>
    <row r="73" spans="1:42" s="621" customFormat="1" ht="11.25" customHeight="1">
      <c r="A73" s="673"/>
      <c r="B73" s="663"/>
      <c r="C73" s="663"/>
      <c r="D73" s="663"/>
      <c r="E73" s="663"/>
      <c r="F73" s="663"/>
      <c r="G73" s="663"/>
      <c r="H73" s="663"/>
      <c r="I73" s="663"/>
      <c r="J73" s="663"/>
      <c r="K73" s="663"/>
      <c r="L73" s="663"/>
      <c r="M73" s="663"/>
      <c r="N73" s="663"/>
      <c r="O73" s="663"/>
      <c r="P73" s="663"/>
      <c r="Q73" s="663"/>
      <c r="R73" s="663"/>
      <c r="S73" s="663"/>
      <c r="T73" s="663"/>
      <c r="U73" s="663"/>
      <c r="V73" s="663"/>
      <c r="W73" s="663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</row>
    <row r="74" spans="1:42" hidden="1">
      <c r="J74" s="621">
        <f>+'1.mell._Össz_Mérleg2020'!C102</f>
        <v>4553174</v>
      </c>
      <c r="S74" s="621">
        <f>+'1.mell._Össz_Mérleg2020'!C208</f>
        <v>4553174</v>
      </c>
    </row>
    <row r="75" spans="1:42" hidden="1">
      <c r="J75" s="621">
        <f>+J72-J74</f>
        <v>0</v>
      </c>
      <c r="S75" s="621">
        <f>+S72-S74</f>
        <v>0</v>
      </c>
      <c r="U75" s="1447"/>
      <c r="V75" s="1447"/>
    </row>
  </sheetData>
  <mergeCells count="1">
    <mergeCell ref="B3:W3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35" orientation="landscape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>
  <sheetPr codeName="Munka28">
    <tabColor rgb="FF00B0F0"/>
    <pageSetUpPr fitToPage="1"/>
  </sheetPr>
  <dimension ref="A1:H29"/>
  <sheetViews>
    <sheetView zoomScaleNormal="100" workbookViewId="0"/>
  </sheetViews>
  <sheetFormatPr defaultColWidth="9.140625" defaultRowHeight="12.75"/>
  <cols>
    <col min="1" max="1" width="4.7109375" style="694" customWidth="1"/>
    <col min="2" max="2" width="28.42578125" style="694" customWidth="1"/>
    <col min="3" max="8" width="10.140625" style="694" customWidth="1"/>
    <col min="9" max="16384" width="9.140625" style="694"/>
  </cols>
  <sheetData>
    <row r="1" spans="1:8" ht="15.75">
      <c r="A1" s="692"/>
      <c r="B1" s="693"/>
      <c r="C1" s="693"/>
      <c r="D1" s="693"/>
      <c r="E1" s="693"/>
      <c r="F1" s="693"/>
      <c r="G1" s="693"/>
      <c r="H1" s="218" t="s">
        <v>781</v>
      </c>
    </row>
    <row r="2" spans="1:8" ht="15.75">
      <c r="A2" s="692"/>
      <c r="B2" s="693"/>
      <c r="C2" s="693"/>
      <c r="D2" s="693"/>
      <c r="E2" s="693"/>
      <c r="F2" s="693"/>
      <c r="G2" s="693"/>
      <c r="H2" s="693"/>
    </row>
    <row r="3" spans="1:8" ht="15.75">
      <c r="A3" s="1287" t="s">
        <v>782</v>
      </c>
      <c r="B3" s="1287"/>
      <c r="C3" s="1287"/>
      <c r="D3" s="1287"/>
      <c r="E3" s="1287"/>
      <c r="F3" s="1287"/>
      <c r="G3" s="1287"/>
      <c r="H3" s="1287"/>
    </row>
    <row r="4" spans="1:8" ht="15.75">
      <c r="A4" s="1287"/>
      <c r="B4" s="1287"/>
      <c r="C4" s="1287"/>
      <c r="D4" s="1287"/>
      <c r="E4" s="1287"/>
      <c r="F4" s="1287"/>
      <c r="G4" s="1287"/>
      <c r="H4" s="1287"/>
    </row>
    <row r="6" spans="1:8" s="692" customFormat="1" ht="27" customHeight="1">
      <c r="A6" s="695" t="s">
        <v>783</v>
      </c>
      <c r="B6" s="696"/>
      <c r="C6" s="1288" t="s">
        <v>784</v>
      </c>
      <c r="D6" s="1288"/>
      <c r="E6" s="1288"/>
      <c r="F6" s="1288"/>
      <c r="G6" s="1288"/>
      <c r="H6" s="1288"/>
    </row>
    <row r="7" spans="1:8" s="692" customFormat="1" ht="15.75"/>
    <row r="8" spans="1:8" s="692" customFormat="1" ht="24.75" customHeight="1">
      <c r="A8" s="695" t="s">
        <v>785</v>
      </c>
      <c r="B8" s="696"/>
      <c r="C8" s="1288" t="s">
        <v>784</v>
      </c>
      <c r="D8" s="1288"/>
      <c r="E8" s="1288"/>
      <c r="F8" s="1288"/>
      <c r="G8" s="1288"/>
      <c r="H8" s="696"/>
    </row>
    <row r="9" spans="1:8" s="697" customFormat="1"/>
    <row r="10" spans="1:8" s="699" customFormat="1" ht="15" customHeight="1">
      <c r="A10" s="698" t="s">
        <v>786</v>
      </c>
    </row>
    <row r="11" spans="1:8" s="699" customFormat="1" ht="15" customHeight="1" thickBot="1">
      <c r="A11" s="698" t="s">
        <v>787</v>
      </c>
    </row>
    <row r="12" spans="1:8" s="703" customFormat="1" ht="42" customHeight="1" thickBot="1">
      <c r="A12" s="700" t="s">
        <v>17</v>
      </c>
      <c r="B12" s="701" t="s">
        <v>788</v>
      </c>
      <c r="C12" s="701" t="s">
        <v>789</v>
      </c>
      <c r="D12" s="701" t="s">
        <v>790</v>
      </c>
      <c r="E12" s="701" t="s">
        <v>791</v>
      </c>
      <c r="F12" s="701" t="s">
        <v>792</v>
      </c>
      <c r="G12" s="701" t="s">
        <v>793</v>
      </c>
      <c r="H12" s="702" t="s">
        <v>440</v>
      </c>
    </row>
    <row r="13" spans="1:8" ht="24" customHeight="1">
      <c r="A13" s="704" t="s">
        <v>4</v>
      </c>
      <c r="B13" s="705" t="s">
        <v>794</v>
      </c>
      <c r="C13" s="706"/>
      <c r="D13" s="706"/>
      <c r="E13" s="706"/>
      <c r="F13" s="706"/>
      <c r="G13" s="706"/>
      <c r="H13" s="707">
        <f>SUM(C13:G13)</f>
        <v>0</v>
      </c>
    </row>
    <row r="14" spans="1:8" ht="24" customHeight="1">
      <c r="A14" s="708" t="s">
        <v>5</v>
      </c>
      <c r="B14" s="709" t="s">
        <v>795</v>
      </c>
      <c r="C14" s="710"/>
      <c r="D14" s="710"/>
      <c r="E14" s="710"/>
      <c r="F14" s="710"/>
      <c r="G14" s="710"/>
      <c r="H14" s="711">
        <f t="shared" ref="H14:H19" si="0">SUM(C14:G14)</f>
        <v>0</v>
      </c>
    </row>
    <row r="15" spans="1:8" ht="24" customHeight="1">
      <c r="A15" s="708" t="s">
        <v>6</v>
      </c>
      <c r="B15" s="709" t="s">
        <v>796</v>
      </c>
      <c r="C15" s="710"/>
      <c r="D15" s="710"/>
      <c r="E15" s="710"/>
      <c r="F15" s="710"/>
      <c r="G15" s="710"/>
      <c r="H15" s="711">
        <f t="shared" si="0"/>
        <v>0</v>
      </c>
    </row>
    <row r="16" spans="1:8" ht="24" customHeight="1">
      <c r="A16" s="708" t="s">
        <v>3</v>
      </c>
      <c r="B16" s="709" t="s">
        <v>797</v>
      </c>
      <c r="C16" s="710"/>
      <c r="D16" s="710"/>
      <c r="E16" s="710"/>
      <c r="F16" s="710"/>
      <c r="G16" s="710"/>
      <c r="H16" s="711">
        <f t="shared" si="0"/>
        <v>0</v>
      </c>
    </row>
    <row r="17" spans="1:8" ht="24" customHeight="1">
      <c r="A17" s="708" t="s">
        <v>16</v>
      </c>
      <c r="B17" s="709" t="s">
        <v>798</v>
      </c>
      <c r="C17" s="710"/>
      <c r="D17" s="710"/>
      <c r="E17" s="710"/>
      <c r="F17" s="710"/>
      <c r="G17" s="710"/>
      <c r="H17" s="711">
        <f t="shared" si="0"/>
        <v>0</v>
      </c>
    </row>
    <row r="18" spans="1:8" ht="24" customHeight="1" thickBot="1">
      <c r="A18" s="712" t="s">
        <v>15</v>
      </c>
      <c r="B18" s="713" t="s">
        <v>799</v>
      </c>
      <c r="C18" s="714"/>
      <c r="D18" s="714"/>
      <c r="E18" s="714"/>
      <c r="F18" s="714"/>
      <c r="G18" s="714"/>
      <c r="H18" s="715">
        <f t="shared" si="0"/>
        <v>0</v>
      </c>
    </row>
    <row r="19" spans="1:8" s="719" customFormat="1" ht="24" customHeight="1" thickBot="1">
      <c r="A19" s="716" t="s">
        <v>14</v>
      </c>
      <c r="B19" s="404" t="s">
        <v>440</v>
      </c>
      <c r="C19" s="717">
        <f>SUM(C13:C18)</f>
        <v>0</v>
      </c>
      <c r="D19" s="717">
        <f>SUM(D13:D18)</f>
        <v>0</v>
      </c>
      <c r="E19" s="717">
        <f>SUM(E13:E18)</f>
        <v>0</v>
      </c>
      <c r="F19" s="717">
        <f>SUM(F13:F18)</f>
        <v>0</v>
      </c>
      <c r="G19" s="717">
        <f>SUM(G13:G18)</f>
        <v>0</v>
      </c>
      <c r="H19" s="718">
        <f t="shared" si="0"/>
        <v>0</v>
      </c>
    </row>
    <row r="20" spans="1:8" s="697" customFormat="1"/>
    <row r="21" spans="1:8" s="697" customFormat="1"/>
    <row r="22" spans="1:8" s="697" customFormat="1"/>
    <row r="23" spans="1:8" s="697" customFormat="1" ht="15.75">
      <c r="A23" s="692" t="s">
        <v>1512</v>
      </c>
    </row>
    <row r="24" spans="1:8" s="697" customFormat="1"/>
    <row r="26" spans="1:8">
      <c r="C26" s="720"/>
      <c r="D26" s="720"/>
      <c r="E26" s="720"/>
      <c r="F26" s="720"/>
      <c r="G26" s="720"/>
    </row>
    <row r="27" spans="1:8" ht="13.5">
      <c r="C27" s="721"/>
      <c r="D27" s="722" t="s">
        <v>800</v>
      </c>
      <c r="E27" s="722"/>
      <c r="F27" s="722"/>
      <c r="G27" s="721"/>
    </row>
    <row r="28" spans="1:8" ht="13.5">
      <c r="C28" s="723"/>
      <c r="D28" s="724"/>
      <c r="E28" s="724"/>
      <c r="F28" s="724"/>
      <c r="G28" s="723"/>
    </row>
    <row r="29" spans="1:8" ht="13.5">
      <c r="C29" s="723"/>
      <c r="D29" s="724"/>
      <c r="E29" s="724"/>
      <c r="F29" s="724"/>
      <c r="G29" s="723"/>
    </row>
  </sheetData>
  <mergeCells count="4">
    <mergeCell ref="A3:H3"/>
    <mergeCell ref="A4:H4"/>
    <mergeCell ref="C6:H6"/>
    <mergeCell ref="C8:G8"/>
  </mergeCells>
  <printOptions horizontalCentered="1"/>
  <pageMargins left="0.39370078740157483" right="0.39370078740157483" top="0.39370078740157483" bottom="0.39370078740157483" header="0.19685039370078741" footer="0.19685039370078741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 codeName="Munka29">
    <tabColor rgb="FF00B0F0"/>
    <pageSetUpPr fitToPage="1"/>
  </sheetPr>
  <dimension ref="A1:P25"/>
  <sheetViews>
    <sheetView zoomScaleNormal="100" workbookViewId="0"/>
  </sheetViews>
  <sheetFormatPr defaultColWidth="9.140625" defaultRowHeight="12.75"/>
  <cols>
    <col min="1" max="1" width="16" style="725" bestFit="1" customWidth="1"/>
    <col min="2" max="2" width="35.42578125" style="725" customWidth="1"/>
    <col min="3" max="6" width="14.7109375" style="725" customWidth="1"/>
    <col min="7" max="7" width="9.140625" style="725"/>
    <col min="8" max="17" width="0" style="725" hidden="1" customWidth="1"/>
    <col min="18" max="16384" width="9.140625" style="725"/>
  </cols>
  <sheetData>
    <row r="1" spans="1:16" ht="15.75">
      <c r="F1" s="218" t="s">
        <v>839</v>
      </c>
    </row>
    <row r="3" spans="1:16" ht="14.25">
      <c r="A3" s="1448" t="s">
        <v>1439</v>
      </c>
      <c r="B3" s="1448"/>
      <c r="C3" s="1448"/>
      <c r="D3" s="1448"/>
      <c r="E3" s="1448"/>
      <c r="F3" s="1448"/>
    </row>
    <row r="4" spans="1:16" ht="14.25">
      <c r="A4" s="1449"/>
      <c r="B4" s="1449"/>
      <c r="C4" s="1449"/>
      <c r="D4" s="1449"/>
      <c r="E4" s="1449"/>
      <c r="F4" s="1449"/>
    </row>
    <row r="5" spans="1:16" ht="12.75" customHeight="1" thickBot="1">
      <c r="A5" s="1450"/>
      <c r="B5" s="1450"/>
      <c r="C5" s="1450"/>
      <c r="D5" s="1450"/>
      <c r="E5" s="1451"/>
      <c r="F5" s="1452" t="s">
        <v>977</v>
      </c>
    </row>
    <row r="6" spans="1:16" ht="14.25">
      <c r="A6" s="1453" t="s">
        <v>801</v>
      </c>
      <c r="B6" s="1454"/>
      <c r="C6" s="1289" t="s">
        <v>802</v>
      </c>
      <c r="D6" s="1290"/>
      <c r="E6" s="1289" t="s">
        <v>818</v>
      </c>
      <c r="F6" s="1290"/>
    </row>
    <row r="7" spans="1:16" ht="15.75" thickBot="1">
      <c r="A7" s="1455"/>
      <c r="B7" s="1456"/>
      <c r="C7" s="812" t="s">
        <v>803</v>
      </c>
      <c r="D7" s="813" t="s">
        <v>804</v>
      </c>
      <c r="E7" s="814">
        <v>1</v>
      </c>
      <c r="F7" s="815">
        <v>0.5</v>
      </c>
    </row>
    <row r="8" spans="1:16" ht="15">
      <c r="A8" s="1457" t="s">
        <v>805</v>
      </c>
      <c r="B8" s="1458"/>
      <c r="C8" s="780">
        <v>30</v>
      </c>
      <c r="D8" s="1131">
        <f>+ROUND(C8*1.27,0)</f>
        <v>38</v>
      </c>
      <c r="E8" s="780">
        <f>+D8</f>
        <v>38</v>
      </c>
      <c r="F8" s="1132">
        <f>+ROUND(E8*0.5,0)</f>
        <v>19</v>
      </c>
      <c r="I8" s="725">
        <v>27</v>
      </c>
      <c r="J8" s="725">
        <f>34+1</f>
        <v>35</v>
      </c>
      <c r="K8" s="725">
        <f>+I8*1.27</f>
        <v>34.29</v>
      </c>
      <c r="L8" s="725">
        <f>+O8*1.1</f>
        <v>29.700000000000003</v>
      </c>
      <c r="M8" s="725">
        <f>+P8*1.1</f>
        <v>38.5</v>
      </c>
      <c r="O8" s="725">
        <v>27</v>
      </c>
      <c r="P8" s="725">
        <v>35</v>
      </c>
    </row>
    <row r="9" spans="1:16" ht="15">
      <c r="A9" s="1459" t="s">
        <v>806</v>
      </c>
      <c r="B9" s="1460"/>
      <c r="C9" s="781">
        <v>54</v>
      </c>
      <c r="D9" s="788">
        <f>+ROUND(C9*1.27,0)</f>
        <v>69</v>
      </c>
      <c r="E9" s="781">
        <f>+D9</f>
        <v>69</v>
      </c>
      <c r="F9" s="782">
        <f>+ROUND(E9*0.5,0)</f>
        <v>35</v>
      </c>
      <c r="I9" s="725">
        <v>49</v>
      </c>
      <c r="J9" s="725">
        <v>62</v>
      </c>
      <c r="K9" s="725">
        <f>+I9*1.27</f>
        <v>62.230000000000004</v>
      </c>
      <c r="L9" s="725">
        <f t="shared" ref="L9:L20" si="0">+O9*1.1</f>
        <v>53.900000000000006</v>
      </c>
      <c r="M9" s="725">
        <f t="shared" ref="M9:M20" si="1">+P9*1.1</f>
        <v>68.2</v>
      </c>
      <c r="O9" s="725">
        <v>49</v>
      </c>
      <c r="P9" s="725">
        <v>62</v>
      </c>
    </row>
    <row r="10" spans="1:16" ht="15">
      <c r="A10" s="1459" t="s">
        <v>807</v>
      </c>
      <c r="B10" s="1460"/>
      <c r="C10" s="781">
        <v>158</v>
      </c>
      <c r="D10" s="788">
        <f>+ROUND(C10*1.27,0)-1</f>
        <v>200</v>
      </c>
      <c r="E10" s="781">
        <f>+D10</f>
        <v>200</v>
      </c>
      <c r="F10" s="782">
        <f>+ROUND(E10*0.5,0)</f>
        <v>100</v>
      </c>
      <c r="I10" s="725">
        <v>144</v>
      </c>
      <c r="J10" s="725">
        <v>183</v>
      </c>
      <c r="K10" s="725">
        <f>+I10*1.27</f>
        <v>182.88</v>
      </c>
      <c r="L10" s="725">
        <f t="shared" si="0"/>
        <v>158.4</v>
      </c>
      <c r="M10" s="725">
        <f t="shared" si="1"/>
        <v>201.3</v>
      </c>
      <c r="O10" s="725">
        <v>144</v>
      </c>
      <c r="P10" s="725">
        <v>183</v>
      </c>
    </row>
    <row r="11" spans="1:16" ht="15.75" thickBot="1">
      <c r="A11" s="1459" t="s">
        <v>808</v>
      </c>
      <c r="B11" s="1460"/>
      <c r="C11" s="781">
        <v>54</v>
      </c>
      <c r="D11" s="816">
        <f>+ROUND(C11*1.27,0)</f>
        <v>69</v>
      </c>
      <c r="E11" s="781">
        <f>+D11</f>
        <v>69</v>
      </c>
      <c r="F11" s="782">
        <f>+ROUND(E11*0.5,0)-1</f>
        <v>34</v>
      </c>
      <c r="I11" s="725">
        <v>49</v>
      </c>
      <c r="J11" s="725">
        <v>62</v>
      </c>
      <c r="K11" s="725">
        <f>+I11*1.27</f>
        <v>62.230000000000004</v>
      </c>
      <c r="L11" s="725">
        <f t="shared" si="0"/>
        <v>53.900000000000006</v>
      </c>
      <c r="M11" s="725">
        <f t="shared" si="1"/>
        <v>68.2</v>
      </c>
      <c r="O11" s="725">
        <v>49</v>
      </c>
      <c r="P11" s="725">
        <v>62</v>
      </c>
    </row>
    <row r="12" spans="1:16" ht="15" thickBot="1">
      <c r="A12" s="1461" t="s">
        <v>817</v>
      </c>
      <c r="B12" s="1462"/>
      <c r="C12" s="783">
        <f>SUM(C8:C11)</f>
        <v>296</v>
      </c>
      <c r="D12" s="784">
        <f>SUM(D8:D11)</f>
        <v>376</v>
      </c>
      <c r="E12" s="783">
        <f>SUM(E8:E11)</f>
        <v>376</v>
      </c>
      <c r="F12" s="784">
        <f>SUM(F8:F11)</f>
        <v>188</v>
      </c>
      <c r="I12" s="725">
        <f>SUM(I8:I11)</f>
        <v>269</v>
      </c>
      <c r="J12" s="725">
        <f>SUM(J8:J11)</f>
        <v>342</v>
      </c>
      <c r="K12" s="725">
        <f>+I12*1.27</f>
        <v>341.63</v>
      </c>
      <c r="L12" s="725">
        <f t="shared" si="0"/>
        <v>295.90000000000003</v>
      </c>
      <c r="M12" s="725">
        <f t="shared" si="1"/>
        <v>376.20000000000005</v>
      </c>
      <c r="O12" s="725">
        <v>269</v>
      </c>
      <c r="P12" s="725">
        <v>342</v>
      </c>
    </row>
    <row r="13" spans="1:16" ht="15">
      <c r="A13" s="1459" t="s">
        <v>806</v>
      </c>
      <c r="B13" s="1460"/>
      <c r="C13" s="785">
        <v>54</v>
      </c>
      <c r="D13" s="786">
        <f>+ROUND(C13*1.27,0)</f>
        <v>69</v>
      </c>
      <c r="E13" s="785">
        <f>+D13</f>
        <v>69</v>
      </c>
      <c r="F13" s="786">
        <f>+ROUND(E13*0.5,0)</f>
        <v>35</v>
      </c>
      <c r="I13" s="725">
        <v>49</v>
      </c>
      <c r="J13" s="725">
        <v>62</v>
      </c>
      <c r="K13" s="725">
        <f t="shared" ref="K13:K19" si="2">+I13*1.27</f>
        <v>62.230000000000004</v>
      </c>
      <c r="L13" s="725">
        <f t="shared" si="0"/>
        <v>53.900000000000006</v>
      </c>
      <c r="M13" s="725">
        <f t="shared" si="1"/>
        <v>68.2</v>
      </c>
      <c r="O13" s="725">
        <v>49</v>
      </c>
      <c r="P13" s="725">
        <v>62</v>
      </c>
    </row>
    <row r="14" spans="1:16" ht="15">
      <c r="A14" s="1459" t="s">
        <v>807</v>
      </c>
      <c r="B14" s="1460"/>
      <c r="C14" s="787">
        <v>158</v>
      </c>
      <c r="D14" s="788">
        <f>+ROUND(C14*1.27,0)-1</f>
        <v>200</v>
      </c>
      <c r="E14" s="787">
        <f>+D14</f>
        <v>200</v>
      </c>
      <c r="F14" s="788">
        <f>+ROUND(E14*0.5,0)</f>
        <v>100</v>
      </c>
      <c r="I14" s="725">
        <v>144</v>
      </c>
      <c r="J14" s="725">
        <v>183</v>
      </c>
      <c r="K14" s="725">
        <f t="shared" si="2"/>
        <v>182.88</v>
      </c>
      <c r="L14" s="725">
        <f t="shared" si="0"/>
        <v>158.4</v>
      </c>
      <c r="M14" s="725">
        <f t="shared" si="1"/>
        <v>201.3</v>
      </c>
      <c r="O14" s="725">
        <v>144</v>
      </c>
      <c r="P14" s="725">
        <v>183</v>
      </c>
    </row>
    <row r="15" spans="1:16" ht="15.75" thickBot="1">
      <c r="A15" s="1459" t="s">
        <v>808</v>
      </c>
      <c r="B15" s="1460"/>
      <c r="C15" s="781">
        <v>54</v>
      </c>
      <c r="D15" s="789">
        <f>+ROUND(C15*1.27,0)</f>
        <v>69</v>
      </c>
      <c r="E15" s="781">
        <f>+D15</f>
        <v>69</v>
      </c>
      <c r="F15" s="782">
        <f>+ROUND(E15*0.5,0)-1</f>
        <v>34</v>
      </c>
      <c r="I15" s="725">
        <v>49</v>
      </c>
      <c r="J15" s="725">
        <v>62</v>
      </c>
      <c r="K15" s="725">
        <f t="shared" si="2"/>
        <v>62.230000000000004</v>
      </c>
      <c r="L15" s="725">
        <f t="shared" si="0"/>
        <v>53.900000000000006</v>
      </c>
      <c r="M15" s="725">
        <f t="shared" si="1"/>
        <v>68.2</v>
      </c>
      <c r="O15" s="725">
        <v>49</v>
      </c>
      <c r="P15" s="725">
        <v>62</v>
      </c>
    </row>
    <row r="16" spans="1:16" ht="15.75" thickBot="1">
      <c r="A16" s="1463" t="s">
        <v>816</v>
      </c>
      <c r="B16" s="1464"/>
      <c r="C16" s="783">
        <f>SUM(C13:C15)</f>
        <v>266</v>
      </c>
      <c r="D16" s="784">
        <f>SUM(D13:D15)</f>
        <v>338</v>
      </c>
      <c r="E16" s="783">
        <f>SUM(E13:E15)</f>
        <v>338</v>
      </c>
      <c r="F16" s="784">
        <f>SUM(F13:F15)</f>
        <v>169</v>
      </c>
      <c r="I16" s="725">
        <f>SUM(I13:I15)</f>
        <v>242</v>
      </c>
      <c r="J16" s="725">
        <f>SUM(J13:J15)</f>
        <v>307</v>
      </c>
      <c r="K16" s="725">
        <f>SUM(K13:K15)</f>
        <v>307.34000000000003</v>
      </c>
      <c r="L16" s="725">
        <f t="shared" si="0"/>
        <v>266.20000000000005</v>
      </c>
      <c r="M16" s="725">
        <f t="shared" si="1"/>
        <v>337.70000000000005</v>
      </c>
      <c r="O16" s="725">
        <v>242</v>
      </c>
      <c r="P16" s="725">
        <v>307</v>
      </c>
    </row>
    <row r="17" spans="1:16" ht="15">
      <c r="A17" s="1465" t="s">
        <v>806</v>
      </c>
      <c r="B17" s="1466"/>
      <c r="C17" s="787">
        <v>62</v>
      </c>
      <c r="D17" s="788">
        <f>+ROUND(C17*1.27,0)</f>
        <v>79</v>
      </c>
      <c r="E17" s="787">
        <f>+D17</f>
        <v>79</v>
      </c>
      <c r="F17" s="788">
        <f>+ROUND(E17*0.5,0)-1</f>
        <v>39</v>
      </c>
      <c r="I17" s="725">
        <v>56</v>
      </c>
      <c r="J17" s="725">
        <v>71</v>
      </c>
      <c r="K17" s="725">
        <f t="shared" si="2"/>
        <v>71.12</v>
      </c>
      <c r="L17" s="725">
        <f t="shared" si="0"/>
        <v>61.600000000000009</v>
      </c>
      <c r="M17" s="725">
        <f t="shared" si="1"/>
        <v>78.100000000000009</v>
      </c>
      <c r="O17" s="725">
        <v>56</v>
      </c>
      <c r="P17" s="725">
        <v>71</v>
      </c>
    </row>
    <row r="18" spans="1:16" ht="15">
      <c r="A18" s="1465" t="s">
        <v>807</v>
      </c>
      <c r="B18" s="1466"/>
      <c r="C18" s="787">
        <v>185</v>
      </c>
      <c r="D18" s="788">
        <f>+ROUND(C18*1.27,0)</f>
        <v>235</v>
      </c>
      <c r="E18" s="787">
        <f>+D18</f>
        <v>235</v>
      </c>
      <c r="F18" s="788">
        <f>+ROUND(E18*0.5,0)</f>
        <v>118</v>
      </c>
      <c r="I18" s="725">
        <v>168</v>
      </c>
      <c r="J18" s="725">
        <f>214-1</f>
        <v>213</v>
      </c>
      <c r="K18" s="725">
        <f t="shared" si="2"/>
        <v>213.36</v>
      </c>
      <c r="L18" s="725">
        <f t="shared" si="0"/>
        <v>184.8</v>
      </c>
      <c r="M18" s="725">
        <f t="shared" si="1"/>
        <v>234.3</v>
      </c>
      <c r="O18" s="725">
        <v>168</v>
      </c>
      <c r="P18" s="725">
        <v>213</v>
      </c>
    </row>
    <row r="19" spans="1:16" ht="15.75" thickBot="1">
      <c r="A19" s="1467" t="s">
        <v>808</v>
      </c>
      <c r="B19" s="1468"/>
      <c r="C19" s="790">
        <v>62</v>
      </c>
      <c r="D19" s="788">
        <f>+ROUND(C19*1.27,0)-1</f>
        <v>78</v>
      </c>
      <c r="E19" s="790">
        <f>+D19</f>
        <v>78</v>
      </c>
      <c r="F19" s="791">
        <f>+ROUND(E19*0.5,0)</f>
        <v>39</v>
      </c>
      <c r="I19" s="725">
        <v>56</v>
      </c>
      <c r="J19" s="725">
        <f>71+1</f>
        <v>72</v>
      </c>
      <c r="K19" s="725">
        <f t="shared" si="2"/>
        <v>71.12</v>
      </c>
      <c r="L19" s="725">
        <f t="shared" si="0"/>
        <v>61.600000000000009</v>
      </c>
      <c r="M19" s="725">
        <f t="shared" si="1"/>
        <v>79.2</v>
      </c>
      <c r="O19" s="725">
        <v>56</v>
      </c>
      <c r="P19" s="725">
        <v>72</v>
      </c>
    </row>
    <row r="20" spans="1:16" ht="15" thickBot="1">
      <c r="A20" s="1461" t="s">
        <v>815</v>
      </c>
      <c r="B20" s="1462"/>
      <c r="C20" s="783">
        <f>SUM(C17:C19)</f>
        <v>309</v>
      </c>
      <c r="D20" s="784">
        <f>SUM(D17:D19)</f>
        <v>392</v>
      </c>
      <c r="E20" s="783">
        <f>SUM(E17:E19)</f>
        <v>392</v>
      </c>
      <c r="F20" s="784">
        <f>SUM(F17:F19)</f>
        <v>196</v>
      </c>
      <c r="I20" s="725">
        <f>SUM(I17:I19)</f>
        <v>280</v>
      </c>
      <c r="J20" s="725">
        <f>SUM(J17:J19)</f>
        <v>356</v>
      </c>
      <c r="K20" s="725">
        <f>SUM(K17:K19)</f>
        <v>355.6</v>
      </c>
      <c r="L20" s="725">
        <f t="shared" si="0"/>
        <v>308</v>
      </c>
      <c r="M20" s="725">
        <f t="shared" si="1"/>
        <v>391.6</v>
      </c>
      <c r="O20" s="725">
        <v>280</v>
      </c>
      <c r="P20" s="725">
        <v>356</v>
      </c>
    </row>
    <row r="21" spans="1:16" ht="15" customHeight="1" thickBot="1">
      <c r="A21" s="1469" t="s">
        <v>1156</v>
      </c>
      <c r="B21" s="1470"/>
      <c r="C21" s="783">
        <v>340</v>
      </c>
      <c r="D21" s="784">
        <f>+ROUND(C21*1.27,0)</f>
        <v>432</v>
      </c>
      <c r="E21" s="783">
        <v>664</v>
      </c>
      <c r="F21" s="1005" t="s">
        <v>19</v>
      </c>
      <c r="L21" s="725">
        <f t="shared" ref="L21" si="3">+O21*1.1</f>
        <v>308</v>
      </c>
      <c r="M21" s="725">
        <f t="shared" ref="M21" si="4">+P21*1.1</f>
        <v>391.6</v>
      </c>
      <c r="O21" s="725">
        <v>280</v>
      </c>
      <c r="P21" s="725">
        <v>356</v>
      </c>
    </row>
    <row r="22" spans="1:16" ht="15" thickBot="1">
      <c r="A22" s="1471"/>
      <c r="B22" s="1472"/>
      <c r="C22" s="783"/>
      <c r="D22" s="784"/>
      <c r="E22" s="783"/>
      <c r="F22" s="784"/>
    </row>
    <row r="23" spans="1:16" ht="15" customHeight="1" thickBot="1">
      <c r="A23" s="1473" t="s">
        <v>1514</v>
      </c>
      <c r="B23" s="1474"/>
      <c r="C23" s="792">
        <v>329</v>
      </c>
      <c r="D23" s="817">
        <f>+ROUND(C23*1.27,0)</f>
        <v>418</v>
      </c>
      <c r="E23" s="792">
        <v>800</v>
      </c>
      <c r="F23" s="1005" t="s">
        <v>19</v>
      </c>
    </row>
    <row r="25" spans="1:16">
      <c r="A25" s="725" t="s">
        <v>1515</v>
      </c>
    </row>
  </sheetData>
  <mergeCells count="20">
    <mergeCell ref="C6:D6"/>
    <mergeCell ref="E6:F6"/>
    <mergeCell ref="A8:B8"/>
    <mergeCell ref="A9:B9"/>
    <mergeCell ref="A3:F3"/>
    <mergeCell ref="A13:B13"/>
    <mergeCell ref="A14:B14"/>
    <mergeCell ref="A22:B22"/>
    <mergeCell ref="A21:B21"/>
    <mergeCell ref="A6:B7"/>
    <mergeCell ref="A10:B10"/>
    <mergeCell ref="A11:B11"/>
    <mergeCell ref="A12:B12"/>
    <mergeCell ref="A23:B23"/>
    <mergeCell ref="A15:B15"/>
    <mergeCell ref="A16:B16"/>
    <mergeCell ref="A17:B17"/>
    <mergeCell ref="A18:B18"/>
    <mergeCell ref="A19:B19"/>
    <mergeCell ref="A20:B20"/>
  </mergeCells>
  <printOptions horizontalCentered="1"/>
  <pageMargins left="0.39370078740157483" right="0.39370078740157483" top="0.39370078740157483" bottom="0.39370078740157483" header="0.19685039370078741" footer="0.19685039370078741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 codeName="Munka30">
    <tabColor rgb="FF00B0F0"/>
  </sheetPr>
  <dimension ref="A1:Q124"/>
  <sheetViews>
    <sheetView zoomScaleNormal="100" workbookViewId="0"/>
  </sheetViews>
  <sheetFormatPr defaultColWidth="9.140625" defaultRowHeight="12"/>
  <cols>
    <col min="1" max="1" width="6" style="736" customWidth="1"/>
    <col min="2" max="2" width="10.5703125" style="727" customWidth="1"/>
    <col min="3" max="3" width="13.28515625" style="727" customWidth="1"/>
    <col min="4" max="4" width="10.5703125" style="727" customWidth="1"/>
    <col min="5" max="5" width="52.5703125" style="727" customWidth="1"/>
    <col min="6" max="6" width="8.28515625" style="728" customWidth="1"/>
    <col min="7" max="7" width="8.28515625" style="924" hidden="1" customWidth="1"/>
    <col min="8" max="9" width="9.140625" style="728" hidden="1" customWidth="1"/>
    <col min="10" max="12" width="9.140625" style="727" hidden="1" customWidth="1"/>
    <col min="13" max="18" width="0" style="727" hidden="1" customWidth="1"/>
    <col min="19" max="16384" width="9.140625" style="727"/>
  </cols>
  <sheetData>
    <row r="1" spans="1:11" s="732" customFormat="1" ht="15.75">
      <c r="A1" s="733"/>
      <c r="F1" s="726" t="s">
        <v>809</v>
      </c>
      <c r="G1" s="726"/>
      <c r="H1" s="963"/>
      <c r="I1" s="963"/>
    </row>
    <row r="2" spans="1:11" s="732" customFormat="1" ht="15.75">
      <c r="A2" s="733"/>
      <c r="F2" s="726"/>
      <c r="G2" s="726"/>
      <c r="H2" s="963"/>
      <c r="I2" s="963"/>
    </row>
    <row r="3" spans="1:11" s="732" customFormat="1" ht="15.75">
      <c r="A3" s="1297" t="s">
        <v>1535</v>
      </c>
      <c r="B3" s="1297"/>
      <c r="C3" s="1297"/>
      <c r="D3" s="1297"/>
      <c r="E3" s="1297"/>
      <c r="F3" s="1297"/>
      <c r="G3" s="920"/>
      <c r="H3" s="963"/>
      <c r="I3" s="963"/>
    </row>
    <row r="4" spans="1:11" ht="12.75" thickBot="1">
      <c r="A4" s="735"/>
      <c r="B4" s="1156"/>
      <c r="C4" s="1156"/>
      <c r="D4" s="1156"/>
      <c r="E4" s="1156"/>
      <c r="F4" s="729" t="s">
        <v>457</v>
      </c>
      <c r="G4" s="729"/>
    </row>
    <row r="5" spans="1:11" s="731" customFormat="1" ht="12.75" thickBot="1">
      <c r="A5" s="734" t="s">
        <v>4</v>
      </c>
      <c r="B5" s="731" t="s">
        <v>80</v>
      </c>
      <c r="D5" s="839"/>
      <c r="E5" s="839"/>
      <c r="F5" s="841">
        <f>+F7+F30+F35+F38+F41+F50+F55+F63</f>
        <v>173051</v>
      </c>
      <c r="G5" s="842"/>
      <c r="H5" s="964"/>
      <c r="I5" s="964"/>
      <c r="J5" s="727"/>
    </row>
    <row r="6" spans="1:11">
      <c r="A6" s="735"/>
      <c r="B6" s="1156"/>
      <c r="C6" s="1156"/>
      <c r="D6" s="1156"/>
      <c r="E6" s="1156"/>
      <c r="F6" s="730"/>
      <c r="G6" s="921"/>
    </row>
    <row r="7" spans="1:11" s="731" customFormat="1">
      <c r="A7" s="838" t="s">
        <v>81</v>
      </c>
      <c r="B7" s="794" t="s">
        <v>812</v>
      </c>
      <c r="C7" s="839"/>
      <c r="D7" s="839"/>
      <c r="E7" s="839"/>
      <c r="F7" s="793">
        <f>+F10+F12+F14+F16+F18+F20+F22+F24+F26+F28</f>
        <v>74158</v>
      </c>
      <c r="G7" s="842"/>
      <c r="H7" s="964"/>
      <c r="I7" s="964"/>
      <c r="J7" s="727"/>
    </row>
    <row r="8" spans="1:11" ht="24.75" customHeight="1">
      <c r="A8" s="735"/>
      <c r="B8" s="1298" t="s">
        <v>1314</v>
      </c>
      <c r="C8" s="1298"/>
      <c r="D8" s="1298"/>
      <c r="E8" s="1298"/>
      <c r="F8" s="730"/>
      <c r="G8" s="921"/>
    </row>
    <row r="9" spans="1:11">
      <c r="A9" s="735"/>
      <c r="B9" s="1154"/>
      <c r="C9" s="1154"/>
      <c r="D9" s="1154"/>
      <c r="E9" s="1154"/>
      <c r="F9" s="730"/>
      <c r="G9" s="921"/>
    </row>
    <row r="10" spans="1:11" ht="36.75" customHeight="1">
      <c r="A10" s="735"/>
      <c r="B10" s="1294" t="s">
        <v>1536</v>
      </c>
      <c r="C10" s="1294"/>
      <c r="D10" s="1294"/>
      <c r="E10" s="1294"/>
      <c r="F10" s="730">
        <v>5000</v>
      </c>
      <c r="G10" s="921"/>
      <c r="H10" s="728">
        <f>+ROUND(F10/1.27,0)</f>
        <v>3937</v>
      </c>
      <c r="I10" s="728">
        <f>+F10-H10</f>
        <v>1063</v>
      </c>
      <c r="J10" s="727" t="s">
        <v>1047</v>
      </c>
    </row>
    <row r="11" spans="1:11">
      <c r="A11" s="735"/>
      <c r="B11" s="1154"/>
      <c r="C11" s="1154"/>
      <c r="D11" s="1154"/>
      <c r="E11" s="1154"/>
      <c r="F11" s="730"/>
      <c r="G11" s="921"/>
    </row>
    <row r="12" spans="1:11" ht="38.25" customHeight="1">
      <c r="A12" s="735"/>
      <c r="B12" s="1299" t="s">
        <v>1537</v>
      </c>
      <c r="C12" s="1299"/>
      <c r="D12" s="1299"/>
      <c r="E12" s="1299"/>
      <c r="F12" s="921">
        <v>41258</v>
      </c>
      <c r="G12" s="921"/>
      <c r="H12" s="728">
        <f>+ROUND(F12/1.27,0)</f>
        <v>32487</v>
      </c>
      <c r="I12" s="728">
        <f>+F12-H12</f>
        <v>8771</v>
      </c>
      <c r="J12" s="727" t="s">
        <v>1047</v>
      </c>
      <c r="K12" s="727" t="s">
        <v>1063</v>
      </c>
    </row>
    <row r="13" spans="1:11">
      <c r="A13" s="735"/>
      <c r="B13" s="1157"/>
      <c r="C13" s="1157"/>
      <c r="D13" s="1157"/>
      <c r="E13" s="1157"/>
      <c r="F13" s="730"/>
      <c r="G13" s="921"/>
    </row>
    <row r="14" spans="1:11">
      <c r="A14" s="735"/>
      <c r="B14" s="1303" t="s">
        <v>1541</v>
      </c>
      <c r="C14" s="1301"/>
      <c r="D14" s="1301"/>
      <c r="E14" s="1301"/>
      <c r="F14" s="730">
        <v>20000</v>
      </c>
      <c r="G14" s="921"/>
      <c r="H14" s="728">
        <f>+ROUND(F14/1.27,0)</f>
        <v>15748</v>
      </c>
      <c r="I14" s="728">
        <f>+F14-H14</f>
        <v>4252</v>
      </c>
      <c r="J14" s="727" t="s">
        <v>1047</v>
      </c>
      <c r="K14" s="727" t="s">
        <v>1063</v>
      </c>
    </row>
    <row r="15" spans="1:11">
      <c r="A15" s="735"/>
      <c r="B15" s="1157"/>
      <c r="C15" s="1157"/>
      <c r="D15" s="1157"/>
      <c r="E15" s="1157"/>
      <c r="F15" s="730"/>
      <c r="G15" s="921"/>
    </row>
    <row r="16" spans="1:11" ht="25.5" customHeight="1">
      <c r="A16" s="735"/>
      <c r="B16" s="1300" t="s">
        <v>1538</v>
      </c>
      <c r="C16" s="1301"/>
      <c r="D16" s="1301"/>
      <c r="E16" s="1301"/>
      <c r="F16" s="921">
        <f>1000-1000</f>
        <v>0</v>
      </c>
      <c r="G16" s="921"/>
      <c r="H16" s="728">
        <f>+ROUND(F16/1.27,0)</f>
        <v>0</v>
      </c>
      <c r="I16" s="728">
        <f>+F16-H16</f>
        <v>0</v>
      </c>
      <c r="J16" s="727" t="s">
        <v>1047</v>
      </c>
    </row>
    <row r="17" spans="1:17">
      <c r="A17" s="735"/>
      <c r="B17" s="1157"/>
      <c r="C17" s="1157"/>
      <c r="D17" s="1157"/>
      <c r="E17" s="1157"/>
      <c r="F17" s="921"/>
      <c r="G17" s="921"/>
    </row>
    <row r="18" spans="1:17" ht="28.5" customHeight="1">
      <c r="A18" s="735"/>
      <c r="B18" s="1299" t="s">
        <v>1327</v>
      </c>
      <c r="C18" s="1299"/>
      <c r="D18" s="1299"/>
      <c r="E18" s="1299"/>
      <c r="F18" s="921">
        <f>2000-1000</f>
        <v>1000</v>
      </c>
      <c r="G18" s="921"/>
      <c r="H18" s="728">
        <f>+ROUND(F18/1.27,0)</f>
        <v>787</v>
      </c>
      <c r="I18" s="728">
        <f>+F18-H18</f>
        <v>213</v>
      </c>
      <c r="J18" s="727" t="s">
        <v>1047</v>
      </c>
    </row>
    <row r="19" spans="1:17">
      <c r="A19" s="735"/>
      <c r="B19" s="1157"/>
      <c r="C19" s="1157"/>
      <c r="D19" s="1157"/>
      <c r="E19" s="1157"/>
      <c r="F19" s="921"/>
      <c r="G19" s="921"/>
    </row>
    <row r="20" spans="1:17">
      <c r="A20" s="735"/>
      <c r="B20" s="1299" t="s">
        <v>1328</v>
      </c>
      <c r="C20" s="1299"/>
      <c r="D20" s="1299"/>
      <c r="E20" s="1299"/>
      <c r="F20" s="921">
        <f>700-300</f>
        <v>400</v>
      </c>
      <c r="G20" s="921"/>
      <c r="H20" s="728">
        <f>+ROUND(F20/1.27,0)</f>
        <v>315</v>
      </c>
      <c r="I20" s="728">
        <f>+F20-H20</f>
        <v>85</v>
      </c>
      <c r="J20" s="727" t="s">
        <v>1047</v>
      </c>
    </row>
    <row r="21" spans="1:17">
      <c r="A21" s="735"/>
      <c r="B21" s="1157"/>
      <c r="C21" s="1157"/>
      <c r="D21" s="1157"/>
      <c r="E21" s="1157"/>
      <c r="F21" s="921"/>
      <c r="G21" s="921"/>
    </row>
    <row r="22" spans="1:17" ht="25.5" customHeight="1">
      <c r="A22" s="735"/>
      <c r="B22" s="1302" t="s">
        <v>1539</v>
      </c>
      <c r="C22" s="1302"/>
      <c r="D22" s="1302"/>
      <c r="E22" s="1302"/>
      <c r="F22" s="921">
        <v>0</v>
      </c>
      <c r="G22" s="921"/>
      <c r="H22" s="728">
        <f>+ROUND(F22/1.27,0)</f>
        <v>0</v>
      </c>
      <c r="I22" s="728">
        <f>+F22-H22</f>
        <v>0</v>
      </c>
      <c r="J22" s="727" t="s">
        <v>1047</v>
      </c>
    </row>
    <row r="23" spans="1:17">
      <c r="A23" s="735"/>
      <c r="B23" s="1157"/>
      <c r="C23" s="1157"/>
      <c r="D23" s="1157"/>
      <c r="E23" s="1157"/>
      <c r="F23" s="921"/>
      <c r="G23" s="921"/>
    </row>
    <row r="24" spans="1:17">
      <c r="A24" s="735"/>
      <c r="B24" s="1300" t="s">
        <v>1315</v>
      </c>
      <c r="C24" s="1301"/>
      <c r="D24" s="1301"/>
      <c r="E24" s="1301"/>
      <c r="F24" s="921">
        <f>2000-1000-500</f>
        <v>500</v>
      </c>
      <c r="G24" s="921"/>
      <c r="H24" s="728">
        <f>+ROUND(F24/1.27,0)</f>
        <v>394</v>
      </c>
      <c r="I24" s="728">
        <f>+F24-H24</f>
        <v>106</v>
      </c>
      <c r="J24" s="727" t="s">
        <v>1047</v>
      </c>
    </row>
    <row r="25" spans="1:17" s="731" customFormat="1">
      <c r="A25" s="735"/>
      <c r="B25" s="1157"/>
      <c r="C25" s="1157"/>
      <c r="D25" s="1157"/>
      <c r="E25" s="1157"/>
      <c r="F25" s="921"/>
      <c r="G25" s="921"/>
      <c r="H25" s="728"/>
      <c r="I25" s="728"/>
      <c r="J25" s="727"/>
      <c r="K25" s="727"/>
      <c r="L25" s="727"/>
      <c r="M25" s="727"/>
      <c r="N25" s="727"/>
      <c r="O25" s="727"/>
      <c r="P25" s="727"/>
      <c r="Q25" s="727"/>
    </row>
    <row r="26" spans="1:17" ht="37.5" customHeight="1">
      <c r="A26" s="735"/>
      <c r="B26" s="1302" t="s">
        <v>1540</v>
      </c>
      <c r="C26" s="1302"/>
      <c r="D26" s="1302"/>
      <c r="E26" s="1302"/>
      <c r="F26" s="921">
        <f>4000-4000</f>
        <v>0</v>
      </c>
      <c r="G26" s="921"/>
      <c r="H26" s="728">
        <f>+ROUND(F26/1.27,0)</f>
        <v>0</v>
      </c>
      <c r="I26" s="728">
        <f>+F26-H26</f>
        <v>0</v>
      </c>
      <c r="J26" s="727" t="s">
        <v>1047</v>
      </c>
      <c r="K26" s="727" t="s">
        <v>1063</v>
      </c>
    </row>
    <row r="27" spans="1:17">
      <c r="A27" s="735"/>
      <c r="B27" s="1157"/>
      <c r="C27" s="1157"/>
      <c r="D27" s="1157"/>
      <c r="E27" s="1157"/>
      <c r="F27" s="730"/>
      <c r="G27" s="921"/>
    </row>
    <row r="28" spans="1:17">
      <c r="A28" s="735"/>
      <c r="B28" s="1299" t="s">
        <v>1316</v>
      </c>
      <c r="C28" s="1299"/>
      <c r="D28" s="1299"/>
      <c r="E28" s="1299"/>
      <c r="F28" s="730">
        <v>6000</v>
      </c>
      <c r="G28" s="921"/>
      <c r="H28" s="728">
        <f>+ROUND(F28/1.27,0)</f>
        <v>4724</v>
      </c>
      <c r="I28" s="728">
        <f>+F28-H28</f>
        <v>1276</v>
      </c>
      <c r="J28" s="727" t="s">
        <v>1047</v>
      </c>
      <c r="N28" s="727" t="s">
        <v>1317</v>
      </c>
    </row>
    <row r="29" spans="1:17">
      <c r="A29" s="735"/>
      <c r="B29" s="1156"/>
      <c r="C29" s="1156"/>
      <c r="D29" s="1156"/>
      <c r="E29" s="1156"/>
      <c r="F29" s="730"/>
      <c r="G29" s="921"/>
    </row>
    <row r="30" spans="1:17" s="731" customFormat="1">
      <c r="A30" s="838" t="s">
        <v>82</v>
      </c>
      <c r="B30" s="794" t="s">
        <v>644</v>
      </c>
      <c r="C30" s="839"/>
      <c r="D30" s="839"/>
      <c r="E30" s="839"/>
      <c r="F30" s="793">
        <f>+F31+F33</f>
        <v>26500</v>
      </c>
      <c r="G30" s="842"/>
      <c r="H30" s="728"/>
      <c r="I30" s="728"/>
      <c r="J30" s="727"/>
    </row>
    <row r="31" spans="1:17">
      <c r="A31" s="735"/>
      <c r="B31" s="1294" t="s">
        <v>1318</v>
      </c>
      <c r="C31" s="1294"/>
      <c r="D31" s="1294"/>
      <c r="E31" s="1294"/>
      <c r="F31" s="730">
        <v>25000</v>
      </c>
      <c r="G31" s="921"/>
      <c r="H31" s="728">
        <f>+ROUND(F31/1.27,0)</f>
        <v>19685</v>
      </c>
      <c r="I31" s="728">
        <f>+F31-H31</f>
        <v>5315</v>
      </c>
      <c r="J31" s="727" t="s">
        <v>1048</v>
      </c>
    </row>
    <row r="32" spans="1:17">
      <c r="A32" s="735"/>
      <c r="B32" s="1154"/>
      <c r="C32" s="1154"/>
      <c r="D32" s="1154"/>
      <c r="E32" s="1154"/>
      <c r="F32" s="730"/>
      <c r="G32" s="921"/>
    </row>
    <row r="33" spans="1:17" s="731" customFormat="1" ht="36.75" customHeight="1">
      <c r="A33" s="735"/>
      <c r="B33" s="1291" t="s">
        <v>1542</v>
      </c>
      <c r="C33" s="1291"/>
      <c r="D33" s="1291"/>
      <c r="E33" s="1291"/>
      <c r="F33" s="921">
        <f>2000-500</f>
        <v>1500</v>
      </c>
      <c r="G33" s="921"/>
      <c r="H33" s="728">
        <f>+ROUND(F33/1.27,0)</f>
        <v>1181</v>
      </c>
      <c r="I33" s="728">
        <f>+F33-H33</f>
        <v>319</v>
      </c>
      <c r="J33" s="727" t="s">
        <v>1048</v>
      </c>
      <c r="K33" s="727" t="s">
        <v>1062</v>
      </c>
      <c r="L33" s="727"/>
      <c r="M33" s="727"/>
      <c r="N33" s="727"/>
      <c r="O33" s="727"/>
      <c r="P33" s="727"/>
      <c r="Q33" s="727"/>
    </row>
    <row r="34" spans="1:17" s="731" customFormat="1">
      <c r="A34" s="735"/>
      <c r="B34" s="1295"/>
      <c r="C34" s="1295"/>
      <c r="D34" s="1295"/>
      <c r="E34" s="1295"/>
      <c r="F34" s="730"/>
      <c r="G34" s="921"/>
      <c r="H34" s="728"/>
      <c r="I34" s="728"/>
      <c r="J34" s="727"/>
      <c r="K34" s="727"/>
      <c r="L34" s="727"/>
      <c r="M34" s="727"/>
      <c r="N34" s="727"/>
      <c r="O34" s="727"/>
      <c r="P34" s="727"/>
      <c r="Q34" s="727"/>
    </row>
    <row r="35" spans="1:17">
      <c r="A35" s="838" t="s">
        <v>820</v>
      </c>
      <c r="B35" s="794" t="s">
        <v>1330</v>
      </c>
      <c r="C35" s="839"/>
      <c r="D35" s="839"/>
      <c r="E35" s="839"/>
      <c r="F35" s="793">
        <v>2500</v>
      </c>
      <c r="G35" s="842"/>
      <c r="H35" s="728">
        <f>+ROUND(F35/1.27,0)</f>
        <v>1969</v>
      </c>
      <c r="I35" s="728">
        <f>+F35-H35</f>
        <v>531</v>
      </c>
      <c r="J35" s="727" t="s">
        <v>1049</v>
      </c>
      <c r="K35" s="731"/>
      <c r="L35" s="731"/>
      <c r="M35" s="731"/>
      <c r="N35" s="731"/>
      <c r="O35" s="731"/>
      <c r="P35" s="731"/>
      <c r="Q35" s="731"/>
    </row>
    <row r="36" spans="1:17" ht="24" customHeight="1">
      <c r="A36" s="735"/>
      <c r="B36" s="1294" t="s">
        <v>1543</v>
      </c>
      <c r="C36" s="1294"/>
      <c r="D36" s="1294"/>
      <c r="E36" s="1294"/>
      <c r="F36" s="730"/>
      <c r="G36" s="921"/>
    </row>
    <row r="37" spans="1:17">
      <c r="A37" s="735"/>
      <c r="B37" s="1156"/>
      <c r="C37" s="1156"/>
      <c r="D37" s="1156"/>
      <c r="E37" s="1156"/>
      <c r="F37" s="730"/>
      <c r="G37" s="921"/>
    </row>
    <row r="38" spans="1:17">
      <c r="A38" s="838" t="s">
        <v>821</v>
      </c>
      <c r="B38" s="794" t="s">
        <v>1331</v>
      </c>
      <c r="C38" s="839"/>
      <c r="D38" s="839"/>
      <c r="E38" s="839"/>
      <c r="F38" s="1475">
        <f>7000-5000</f>
        <v>2000</v>
      </c>
      <c r="G38" s="842"/>
      <c r="H38" s="728">
        <f>+ROUND(F38/1.27,0)</f>
        <v>1575</v>
      </c>
      <c r="I38" s="728">
        <f>+F38-H38</f>
        <v>425</v>
      </c>
      <c r="J38" s="727" t="s">
        <v>1050</v>
      </c>
      <c r="K38" s="731"/>
      <c r="L38" s="727" t="s">
        <v>1329</v>
      </c>
      <c r="M38" s="731"/>
      <c r="N38" s="727" t="s">
        <v>1317</v>
      </c>
      <c r="Q38" s="731"/>
    </row>
    <row r="39" spans="1:17" ht="28.5" customHeight="1">
      <c r="A39" s="735"/>
      <c r="B39" s="1294" t="s">
        <v>1544</v>
      </c>
      <c r="C39" s="1294"/>
      <c r="D39" s="1294"/>
      <c r="E39" s="1294"/>
      <c r="F39" s="730"/>
      <c r="G39" s="921"/>
    </row>
    <row r="40" spans="1:17">
      <c r="A40" s="735"/>
      <c r="B40" s="1156"/>
      <c r="C40" s="1156"/>
      <c r="D40" s="1156"/>
      <c r="E40" s="1156"/>
      <c r="F40" s="730"/>
      <c r="G40" s="921"/>
    </row>
    <row r="41" spans="1:17" s="731" customFormat="1">
      <c r="A41" s="838" t="s">
        <v>822</v>
      </c>
      <c r="B41" s="794" t="s">
        <v>1332</v>
      </c>
      <c r="C41" s="839"/>
      <c r="D41" s="839"/>
      <c r="E41" s="839"/>
      <c r="F41" s="793">
        <f>+F43+F44+F45+F46+F47+F48</f>
        <v>7700</v>
      </c>
      <c r="G41" s="842"/>
      <c r="H41" s="964"/>
      <c r="I41" s="964"/>
      <c r="J41" s="727"/>
      <c r="N41" s="727" t="s">
        <v>1317</v>
      </c>
      <c r="O41" s="727"/>
      <c r="P41" s="727"/>
    </row>
    <row r="42" spans="1:17" ht="25.5" customHeight="1">
      <c r="A42" s="735"/>
      <c r="B42" s="1294" t="s">
        <v>1165</v>
      </c>
      <c r="C42" s="1294"/>
      <c r="D42" s="1294"/>
      <c r="E42" s="1294"/>
      <c r="F42" s="730"/>
      <c r="G42" s="921"/>
    </row>
    <row r="43" spans="1:17">
      <c r="A43" s="735"/>
      <c r="B43" s="1291" t="s">
        <v>1044</v>
      </c>
      <c r="C43" s="1291"/>
      <c r="D43" s="1291"/>
      <c r="E43" s="1291"/>
      <c r="F43" s="730">
        <v>500</v>
      </c>
      <c r="G43" s="921"/>
      <c r="H43" s="728">
        <f t="shared" ref="H43:H48" si="0">+ROUND(F43/1.27,0)</f>
        <v>394</v>
      </c>
      <c r="I43" s="728">
        <f t="shared" ref="I43:I48" si="1">+F43-H43</f>
        <v>106</v>
      </c>
      <c r="J43" s="727" t="s">
        <v>1051</v>
      </c>
      <c r="N43" s="727" t="s">
        <v>1317</v>
      </c>
    </row>
    <row r="44" spans="1:17">
      <c r="A44" s="735"/>
      <c r="B44" s="1304" t="s">
        <v>1319</v>
      </c>
      <c r="C44" s="1304"/>
      <c r="D44" s="1304"/>
      <c r="E44" s="1304"/>
      <c r="F44" s="730">
        <v>500</v>
      </c>
      <c r="G44" s="921"/>
      <c r="H44" s="728">
        <f t="shared" si="0"/>
        <v>394</v>
      </c>
      <c r="I44" s="728">
        <f t="shared" si="1"/>
        <v>106</v>
      </c>
      <c r="J44" s="727" t="s">
        <v>1051</v>
      </c>
      <c r="N44" s="727" t="s">
        <v>1317</v>
      </c>
    </row>
    <row r="45" spans="1:17">
      <c r="A45" s="735"/>
      <c r="B45" s="1304" t="s">
        <v>1320</v>
      </c>
      <c r="C45" s="1304"/>
      <c r="D45" s="1304"/>
      <c r="E45" s="1304"/>
      <c r="F45" s="730">
        <v>3000</v>
      </c>
      <c r="G45" s="921"/>
      <c r="H45" s="728">
        <f t="shared" si="0"/>
        <v>2362</v>
      </c>
      <c r="I45" s="728">
        <f t="shared" si="1"/>
        <v>638</v>
      </c>
      <c r="J45" s="727" t="s">
        <v>1051</v>
      </c>
      <c r="N45" s="727" t="s">
        <v>1317</v>
      </c>
    </row>
    <row r="46" spans="1:17" s="731" customFormat="1">
      <c r="A46" s="735"/>
      <c r="B46" s="1296" t="s">
        <v>813</v>
      </c>
      <c r="C46" s="1296"/>
      <c r="D46" s="1296"/>
      <c r="E46" s="1296"/>
      <c r="F46" s="730">
        <v>1000</v>
      </c>
      <c r="G46" s="921"/>
      <c r="H46" s="728">
        <f>+ROUND(F46/1.27,0)</f>
        <v>787</v>
      </c>
      <c r="I46" s="728">
        <f>+F46-H46</f>
        <v>213</v>
      </c>
      <c r="J46" s="727" t="s">
        <v>1051</v>
      </c>
      <c r="K46" s="727"/>
      <c r="L46" s="727"/>
      <c r="M46" s="727"/>
      <c r="N46" s="727" t="s">
        <v>1317</v>
      </c>
      <c r="O46" s="727"/>
      <c r="P46" s="727"/>
      <c r="Q46" s="727"/>
    </row>
    <row r="47" spans="1:17">
      <c r="A47" s="735"/>
      <c r="B47" s="1296" t="s">
        <v>1045</v>
      </c>
      <c r="C47" s="1296"/>
      <c r="D47" s="1296"/>
      <c r="E47" s="1296"/>
      <c r="F47" s="730">
        <v>1200</v>
      </c>
      <c r="G47" s="921"/>
      <c r="H47" s="728">
        <f t="shared" si="0"/>
        <v>945</v>
      </c>
      <c r="I47" s="728">
        <f t="shared" si="1"/>
        <v>255</v>
      </c>
      <c r="J47" s="727" t="s">
        <v>1051</v>
      </c>
      <c r="N47" s="727" t="s">
        <v>1317</v>
      </c>
    </row>
    <row r="48" spans="1:17">
      <c r="A48" s="735"/>
      <c r="B48" s="1296" t="s">
        <v>1321</v>
      </c>
      <c r="C48" s="1296"/>
      <c r="D48" s="1296"/>
      <c r="E48" s="1296"/>
      <c r="F48" s="730">
        <v>1500</v>
      </c>
      <c r="G48" s="921"/>
      <c r="H48" s="728">
        <f t="shared" si="0"/>
        <v>1181</v>
      </c>
      <c r="I48" s="728">
        <f t="shared" si="1"/>
        <v>319</v>
      </c>
      <c r="J48" s="727" t="s">
        <v>1051</v>
      </c>
    </row>
    <row r="49" spans="1:17">
      <c r="A49" s="735"/>
      <c r="B49" s="1156"/>
      <c r="C49" s="1156"/>
      <c r="D49" s="1156"/>
      <c r="E49" s="1156"/>
      <c r="F49" s="730"/>
      <c r="G49" s="921"/>
    </row>
    <row r="50" spans="1:17">
      <c r="A50" s="838" t="s">
        <v>823</v>
      </c>
      <c r="B50" s="794" t="s">
        <v>1333</v>
      </c>
      <c r="C50" s="839"/>
      <c r="D50" s="839"/>
      <c r="E50" s="839"/>
      <c r="F50" s="793">
        <f>+F51+F53</f>
        <v>3500</v>
      </c>
      <c r="G50" s="842"/>
      <c r="K50" s="731"/>
      <c r="L50" s="731"/>
      <c r="M50" s="731"/>
      <c r="N50" s="731"/>
      <c r="O50" s="731"/>
      <c r="P50" s="731"/>
      <c r="Q50" s="731"/>
    </row>
    <row r="51" spans="1:17">
      <c r="A51" s="735"/>
      <c r="B51" s="1294" t="s">
        <v>1334</v>
      </c>
      <c r="C51" s="1294"/>
      <c r="D51" s="1294"/>
      <c r="E51" s="1294"/>
      <c r="F51" s="730">
        <v>3000</v>
      </c>
      <c r="G51" s="921"/>
      <c r="H51" s="728">
        <f>+ROUND(F51/1.27,0)</f>
        <v>2362</v>
      </c>
      <c r="I51" s="728">
        <f>+F51-H51</f>
        <v>638</v>
      </c>
      <c r="J51" s="727" t="s">
        <v>1052</v>
      </c>
    </row>
    <row r="52" spans="1:17" s="731" customFormat="1">
      <c r="A52" s="735"/>
      <c r="B52" s="1154"/>
      <c r="C52" s="1154"/>
      <c r="D52" s="1154"/>
      <c r="E52" s="1154"/>
      <c r="F52" s="730"/>
      <c r="G52" s="921"/>
      <c r="H52" s="728"/>
      <c r="I52" s="728"/>
      <c r="J52" s="727"/>
      <c r="K52" s="727"/>
      <c r="L52" s="727"/>
      <c r="M52" s="727"/>
      <c r="N52" s="727"/>
      <c r="O52" s="727"/>
      <c r="P52" s="727"/>
      <c r="Q52" s="727"/>
    </row>
    <row r="53" spans="1:17">
      <c r="A53" s="735"/>
      <c r="B53" s="1291" t="s">
        <v>1545</v>
      </c>
      <c r="C53" s="1291"/>
      <c r="D53" s="1291"/>
      <c r="E53" s="1291"/>
      <c r="F53" s="730">
        <v>500</v>
      </c>
      <c r="G53" s="921"/>
      <c r="H53" s="728">
        <f>+ROUND(F53/1.27,0)</f>
        <v>394</v>
      </c>
      <c r="I53" s="728">
        <f>+F53-H53</f>
        <v>106</v>
      </c>
      <c r="J53" s="727" t="s">
        <v>1052</v>
      </c>
    </row>
    <row r="54" spans="1:17">
      <c r="A54" s="735"/>
      <c r="B54" s="1156"/>
      <c r="C54" s="1156"/>
      <c r="D54" s="1156"/>
      <c r="E54" s="1156"/>
      <c r="F54" s="730"/>
      <c r="G54" s="921"/>
    </row>
    <row r="55" spans="1:17">
      <c r="A55" s="838" t="s">
        <v>824</v>
      </c>
      <c r="B55" s="794" t="s">
        <v>1342</v>
      </c>
      <c r="C55" s="839"/>
      <c r="D55" s="839"/>
      <c r="E55" s="839"/>
      <c r="F55" s="793">
        <f>+F57+F59+F61</f>
        <v>10000</v>
      </c>
      <c r="G55" s="842"/>
      <c r="H55" s="964"/>
      <c r="I55" s="964"/>
      <c r="K55" s="731"/>
      <c r="L55" s="731"/>
      <c r="M55" s="731"/>
      <c r="N55" s="731"/>
      <c r="O55" s="731"/>
      <c r="P55" s="731"/>
      <c r="Q55" s="731"/>
    </row>
    <row r="56" spans="1:17">
      <c r="A56" s="735"/>
      <c r="B56" s="1154"/>
      <c r="C56" s="1154"/>
      <c r="D56" s="1154"/>
      <c r="E56" s="1154"/>
      <c r="F56" s="730"/>
      <c r="G56" s="921"/>
    </row>
    <row r="57" spans="1:17">
      <c r="A57" s="735"/>
      <c r="B57" s="1294" t="s">
        <v>1336</v>
      </c>
      <c r="C57" s="1294"/>
      <c r="D57" s="1294"/>
      <c r="E57" s="1294"/>
      <c r="F57" s="921">
        <v>6000</v>
      </c>
      <c r="G57" s="921"/>
      <c r="H57" s="728">
        <f>+ROUND(F57/1.27,0)</f>
        <v>4724</v>
      </c>
      <c r="I57" s="728">
        <f>+F57-H57</f>
        <v>1276</v>
      </c>
      <c r="J57" s="727" t="s">
        <v>974</v>
      </c>
    </row>
    <row r="58" spans="1:17">
      <c r="A58" s="735"/>
      <c r="B58" s="1154"/>
      <c r="C58" s="1154"/>
      <c r="D58" s="1154"/>
      <c r="E58" s="1154"/>
      <c r="F58" s="921"/>
      <c r="G58" s="921"/>
    </row>
    <row r="59" spans="1:17" ht="36" customHeight="1">
      <c r="A59" s="735"/>
      <c r="B59" s="1294" t="s">
        <v>1335</v>
      </c>
      <c r="C59" s="1294"/>
      <c r="D59" s="1294"/>
      <c r="E59" s="1294"/>
      <c r="F59" s="921">
        <f>6000-2000</f>
        <v>4000</v>
      </c>
      <c r="G59" s="921"/>
      <c r="H59" s="728">
        <f>+ROUND(F59/1.27,0)</f>
        <v>3150</v>
      </c>
      <c r="I59" s="728">
        <f>+F59-H59</f>
        <v>850</v>
      </c>
      <c r="J59" s="727" t="s">
        <v>974</v>
      </c>
    </row>
    <row r="60" spans="1:17">
      <c r="A60" s="735"/>
      <c r="B60" s="1154"/>
      <c r="C60" s="1154"/>
      <c r="D60" s="1154"/>
      <c r="E60" s="1154"/>
      <c r="F60" s="730"/>
      <c r="G60" s="921"/>
    </row>
    <row r="61" spans="1:17">
      <c r="B61" s="1291" t="s">
        <v>1546</v>
      </c>
      <c r="C61" s="1291"/>
      <c r="D61" s="1291"/>
      <c r="E61" s="1291"/>
      <c r="F61" s="728">
        <v>0</v>
      </c>
      <c r="H61" s="728">
        <f>+ROUND(F61/1.27,0)</f>
        <v>0</v>
      </c>
      <c r="I61" s="728">
        <f>+F61-H61</f>
        <v>0</v>
      </c>
      <c r="J61" s="727" t="s">
        <v>974</v>
      </c>
    </row>
    <row r="62" spans="1:17">
      <c r="A62" s="735"/>
      <c r="F62" s="730"/>
      <c r="G62" s="921"/>
    </row>
    <row r="63" spans="1:17">
      <c r="A63" s="838" t="s">
        <v>825</v>
      </c>
      <c r="B63" s="794" t="s">
        <v>814</v>
      </c>
      <c r="C63" s="839"/>
      <c r="D63" s="839"/>
      <c r="E63" s="839"/>
      <c r="F63" s="1475">
        <f>+F68+F73</f>
        <v>46693</v>
      </c>
      <c r="G63" s="842"/>
      <c r="H63" s="964"/>
      <c r="I63" s="964"/>
      <c r="K63" s="731"/>
      <c r="L63" s="731"/>
      <c r="M63" s="731"/>
      <c r="N63" s="731"/>
      <c r="O63" s="731"/>
      <c r="P63" s="731"/>
      <c r="Q63" s="731"/>
    </row>
    <row r="64" spans="1:17" s="731" customFormat="1" ht="12" customHeight="1">
      <c r="A64" s="735"/>
      <c r="B64" s="1291" t="s">
        <v>1549</v>
      </c>
      <c r="C64" s="1291"/>
      <c r="D64" s="1291"/>
      <c r="E64" s="1291"/>
      <c r="F64" s="730"/>
      <c r="G64" s="921"/>
      <c r="H64" s="728"/>
      <c r="I64" s="728"/>
      <c r="J64" s="727"/>
      <c r="K64" s="727"/>
      <c r="L64" s="727"/>
      <c r="M64" s="727"/>
      <c r="N64" s="727" t="s">
        <v>1317</v>
      </c>
      <c r="O64" s="727"/>
      <c r="P64" s="727"/>
      <c r="Q64" s="727"/>
    </row>
    <row r="65" spans="1:17" ht="24.75" customHeight="1">
      <c r="A65" s="735"/>
      <c r="B65" s="1298" t="s">
        <v>1550</v>
      </c>
      <c r="C65" s="1298"/>
      <c r="D65" s="1298"/>
      <c r="E65" s="1298"/>
      <c r="F65" s="730"/>
      <c r="G65" s="921"/>
      <c r="N65" s="727" t="s">
        <v>1317</v>
      </c>
    </row>
    <row r="66" spans="1:17" ht="23.25" customHeight="1">
      <c r="A66" s="735"/>
      <c r="B66" s="1298" t="s">
        <v>1551</v>
      </c>
      <c r="C66" s="1298"/>
      <c r="D66" s="1298"/>
      <c r="E66" s="1298"/>
      <c r="F66" s="730"/>
      <c r="G66" s="921"/>
    </row>
    <row r="67" spans="1:17">
      <c r="A67" s="735"/>
      <c r="D67" s="1158"/>
      <c r="E67" s="1158"/>
      <c r="F67" s="730"/>
      <c r="G67" s="921"/>
    </row>
    <row r="68" spans="1:17">
      <c r="A68" s="735"/>
      <c r="B68" s="727" t="s">
        <v>1548</v>
      </c>
      <c r="D68" s="1158"/>
      <c r="E68" s="1158"/>
      <c r="F68" s="840">
        <f>+F69+F70+F71</f>
        <v>36693</v>
      </c>
      <c r="G68" s="922"/>
    </row>
    <row r="69" spans="1:17" s="1048" customFormat="1" ht="12" customHeight="1">
      <c r="A69" s="1047"/>
      <c r="D69" s="1049"/>
      <c r="E69" s="1049" t="s">
        <v>976</v>
      </c>
      <c r="F69" s="1050">
        <v>33433</v>
      </c>
      <c r="G69" s="1051"/>
      <c r="H69" s="1052">
        <f>+F69</f>
        <v>33433</v>
      </c>
      <c r="I69" s="1052"/>
      <c r="J69" s="1048" t="s">
        <v>1053</v>
      </c>
    </row>
    <row r="70" spans="1:17" s="1048" customFormat="1" ht="12" customHeight="1">
      <c r="A70" s="1047"/>
      <c r="D70" s="1049"/>
      <c r="E70" s="1049" t="s">
        <v>975</v>
      </c>
      <c r="F70" s="1050">
        <v>3260</v>
      </c>
      <c r="G70" s="1051"/>
      <c r="H70" s="1052">
        <f>+F70</f>
        <v>3260</v>
      </c>
      <c r="I70" s="1052"/>
      <c r="J70" s="1048" t="s">
        <v>1053</v>
      </c>
    </row>
    <row r="71" spans="1:17" s="1048" customFormat="1" ht="12" customHeight="1">
      <c r="A71" s="1047"/>
      <c r="D71" s="1049"/>
      <c r="E71" s="1049" t="s">
        <v>1046</v>
      </c>
      <c r="F71" s="1050">
        <v>0</v>
      </c>
      <c r="G71" s="1051"/>
      <c r="H71" s="1052">
        <f>+ROUND(F71/1.27,0)</f>
        <v>0</v>
      </c>
      <c r="I71" s="1052">
        <f>+F71-H71</f>
        <v>0</v>
      </c>
      <c r="J71" s="1048" t="s">
        <v>1053</v>
      </c>
    </row>
    <row r="72" spans="1:17" ht="12" customHeight="1">
      <c r="A72" s="735"/>
      <c r="D72" s="1158"/>
      <c r="E72" s="1158"/>
      <c r="F72" s="730"/>
      <c r="G72" s="921"/>
    </row>
    <row r="73" spans="1:17" ht="12" customHeight="1">
      <c r="A73" s="735"/>
      <c r="B73" s="1291" t="s">
        <v>1547</v>
      </c>
      <c r="C73" s="1291"/>
      <c r="D73" s="1291"/>
      <c r="E73" s="1291"/>
      <c r="F73" s="1046">
        <v>10000</v>
      </c>
      <c r="G73" s="921"/>
      <c r="H73" s="728">
        <f>+ROUND(F73/1.27,0)</f>
        <v>7874</v>
      </c>
      <c r="I73" s="728">
        <f>+F73-H73</f>
        <v>2126</v>
      </c>
      <c r="J73" s="727" t="s">
        <v>1053</v>
      </c>
    </row>
    <row r="74" spans="1:17" ht="12" customHeight="1">
      <c r="A74" s="735"/>
      <c r="B74" s="1155"/>
      <c r="C74" s="1155"/>
      <c r="D74" s="1155"/>
      <c r="E74" s="1155"/>
      <c r="F74" s="1046"/>
      <c r="G74" s="921"/>
    </row>
    <row r="75" spans="1:17" ht="12.75" thickBot="1">
      <c r="A75" s="735"/>
      <c r="B75" s="1158"/>
      <c r="C75" s="1158"/>
      <c r="D75" s="1158"/>
      <c r="E75" s="1158"/>
      <c r="F75" s="730"/>
      <c r="G75" s="921"/>
    </row>
    <row r="76" spans="1:17" ht="12.75" thickBot="1">
      <c r="A76" s="734" t="s">
        <v>5</v>
      </c>
      <c r="B76" s="731" t="s">
        <v>48</v>
      </c>
      <c r="C76" s="731"/>
      <c r="D76" s="839"/>
      <c r="E76" s="839"/>
      <c r="F76" s="841">
        <f>+F78+F81+F83+F86+F89+F93+F99+F101</f>
        <v>65100.9</v>
      </c>
      <c r="G76" s="842"/>
      <c r="H76" s="964"/>
      <c r="I76" s="964"/>
      <c r="K76" s="731"/>
      <c r="L76" s="731"/>
      <c r="M76" s="731"/>
      <c r="N76" s="731"/>
      <c r="O76" s="731"/>
      <c r="P76" s="731"/>
      <c r="Q76" s="731"/>
    </row>
    <row r="77" spans="1:17">
      <c r="A77" s="735"/>
      <c r="B77" s="1158"/>
      <c r="C77" s="1158"/>
      <c r="D77" s="1158"/>
      <c r="E77" s="1158"/>
      <c r="F77" s="730"/>
      <c r="G77" s="921"/>
    </row>
    <row r="78" spans="1:17">
      <c r="A78" s="838" t="s">
        <v>54</v>
      </c>
      <c r="B78" s="794" t="s">
        <v>775</v>
      </c>
      <c r="C78" s="1156"/>
      <c r="D78" s="1156"/>
      <c r="E78" s="1156"/>
      <c r="F78" s="793">
        <v>700</v>
      </c>
      <c r="G78" s="842"/>
      <c r="H78" s="728">
        <f>+ROUND(F78/1.27,0)</f>
        <v>551</v>
      </c>
      <c r="I78" s="728">
        <f>+F78-H78</f>
        <v>149</v>
      </c>
      <c r="J78" s="727" t="s">
        <v>974</v>
      </c>
      <c r="L78" s="727" t="s">
        <v>1061</v>
      </c>
    </row>
    <row r="79" spans="1:17">
      <c r="A79" s="838"/>
      <c r="B79" s="1291" t="s">
        <v>1552</v>
      </c>
      <c r="C79" s="1291"/>
      <c r="D79" s="1291"/>
      <c r="E79" s="1291"/>
      <c r="F79" s="840"/>
      <c r="G79" s="842"/>
    </row>
    <row r="80" spans="1:17">
      <c r="A80" s="838"/>
      <c r="B80" s="1155"/>
      <c r="C80" s="1155"/>
      <c r="D80" s="1155"/>
      <c r="E80" s="1155"/>
      <c r="F80" s="840"/>
      <c r="G80" s="842"/>
    </row>
    <row r="81" spans="1:12">
      <c r="A81" s="838" t="s">
        <v>55</v>
      </c>
      <c r="B81" s="1292" t="s">
        <v>1322</v>
      </c>
      <c r="C81" s="1292"/>
      <c r="D81" s="1292"/>
      <c r="E81" s="1292"/>
      <c r="F81" s="793">
        <v>0</v>
      </c>
      <c r="G81" s="921"/>
      <c r="H81" s="728">
        <f>+F81</f>
        <v>0</v>
      </c>
      <c r="J81" s="727" t="s">
        <v>974</v>
      </c>
    </row>
    <row r="82" spans="1:12">
      <c r="A82" s="838"/>
      <c r="B82" s="1155"/>
      <c r="C82" s="1155"/>
      <c r="D82" s="1155"/>
      <c r="E82" s="1155"/>
      <c r="F82" s="730"/>
      <c r="G82" s="921"/>
    </row>
    <row r="83" spans="1:12">
      <c r="A83" s="838" t="s">
        <v>83</v>
      </c>
      <c r="B83" s="794" t="s">
        <v>1341</v>
      </c>
      <c r="C83" s="1156"/>
      <c r="D83" s="1156"/>
      <c r="E83" s="1156"/>
      <c r="F83" s="793">
        <v>4900</v>
      </c>
      <c r="G83" s="842"/>
      <c r="H83" s="728">
        <f>+F83</f>
        <v>4900</v>
      </c>
      <c r="J83" s="727" t="s">
        <v>974</v>
      </c>
    </row>
    <row r="84" spans="1:12" ht="26.25" customHeight="1">
      <c r="A84" s="734"/>
      <c r="B84" s="1293" t="s">
        <v>1553</v>
      </c>
      <c r="C84" s="1293"/>
      <c r="D84" s="1293"/>
      <c r="E84" s="1293"/>
      <c r="F84" s="730"/>
      <c r="G84" s="921"/>
    </row>
    <row r="85" spans="1:12">
      <c r="A85" s="838"/>
      <c r="B85" s="1156"/>
      <c r="C85" s="1156"/>
      <c r="D85" s="1156"/>
      <c r="E85" s="1156"/>
      <c r="F85" s="730"/>
      <c r="G85" s="921"/>
    </row>
    <row r="86" spans="1:12">
      <c r="A86" s="838" t="s">
        <v>84</v>
      </c>
      <c r="B86" s="794" t="s">
        <v>1337</v>
      </c>
      <c r="C86" s="1156"/>
      <c r="D86" s="1156"/>
      <c r="E86" s="1156"/>
      <c r="F86" s="793">
        <f>310-10</f>
        <v>300</v>
      </c>
      <c r="G86" s="842"/>
      <c r="H86" s="728">
        <f>+ROUND(F86/1.27,0)</f>
        <v>236</v>
      </c>
      <c r="I86" s="728">
        <f>+F86-H86</f>
        <v>64</v>
      </c>
      <c r="J86" s="727" t="s">
        <v>1060</v>
      </c>
      <c r="L86" s="727" t="s">
        <v>1061</v>
      </c>
    </row>
    <row r="87" spans="1:12">
      <c r="A87" s="734"/>
      <c r="B87" s="1294" t="s">
        <v>826</v>
      </c>
      <c r="C87" s="1294"/>
      <c r="D87" s="1294"/>
      <c r="E87" s="1294"/>
      <c r="F87" s="730"/>
      <c r="G87" s="921"/>
    </row>
    <row r="88" spans="1:12">
      <c r="A88" s="838"/>
      <c r="B88" s="1156"/>
      <c r="C88" s="1156"/>
      <c r="D88" s="1156"/>
      <c r="E88" s="1156"/>
      <c r="F88" s="730"/>
      <c r="G88" s="921"/>
    </row>
    <row r="89" spans="1:12">
      <c r="A89" s="838" t="s">
        <v>85</v>
      </c>
      <c r="B89" s="794" t="s">
        <v>1338</v>
      </c>
      <c r="C89" s="1156"/>
      <c r="D89" s="1156"/>
      <c r="E89" s="1156"/>
      <c r="F89" s="793">
        <f>+F90+F91</f>
        <v>7557</v>
      </c>
      <c r="G89" s="842"/>
    </row>
    <row r="90" spans="1:12">
      <c r="A90" s="838"/>
      <c r="B90" s="1054"/>
      <c r="C90" s="727" t="s">
        <v>1343</v>
      </c>
      <c r="D90" s="1156"/>
      <c r="E90" s="1156"/>
      <c r="F90" s="730">
        <f>3100+837</f>
        <v>3937</v>
      </c>
      <c r="G90" s="921"/>
      <c r="H90" s="728">
        <f>+ROUND(F90/1.27,0)</f>
        <v>3100</v>
      </c>
      <c r="I90" s="728">
        <f>+F90-H90</f>
        <v>837</v>
      </c>
      <c r="J90" s="727" t="s">
        <v>1049</v>
      </c>
      <c r="L90" s="727" t="s">
        <v>1061</v>
      </c>
    </row>
    <row r="91" spans="1:12">
      <c r="A91" s="838"/>
      <c r="B91" s="1156"/>
      <c r="C91" s="727" t="s">
        <v>1344</v>
      </c>
      <c r="D91" s="1156"/>
      <c r="E91" s="1156"/>
      <c r="F91" s="730">
        <f>ROUND((1500+1350)*1.27,0)</f>
        <v>3620</v>
      </c>
      <c r="G91" s="921"/>
      <c r="H91" s="728">
        <f>+ROUND(F91/1.27,0)</f>
        <v>2850</v>
      </c>
      <c r="I91" s="728">
        <f>+F91-H91</f>
        <v>770</v>
      </c>
      <c r="J91" s="727" t="s">
        <v>1049</v>
      </c>
      <c r="L91" s="727" t="s">
        <v>1061</v>
      </c>
    </row>
    <row r="92" spans="1:12">
      <c r="A92" s="838"/>
      <c r="B92" s="1156"/>
      <c r="C92" s="1156"/>
      <c r="D92" s="1156"/>
      <c r="E92" s="1156"/>
      <c r="F92" s="730"/>
      <c r="G92" s="921"/>
    </row>
    <row r="93" spans="1:12">
      <c r="A93" s="838" t="s">
        <v>86</v>
      </c>
      <c r="B93" s="794" t="s">
        <v>1340</v>
      </c>
      <c r="C93" s="1156"/>
      <c r="D93" s="1156"/>
      <c r="E93" s="1156"/>
      <c r="F93" s="793">
        <f>+F94+F95+F96+F97</f>
        <v>20143.900000000001</v>
      </c>
      <c r="G93" s="842"/>
    </row>
    <row r="94" spans="1:12">
      <c r="A94" s="838"/>
      <c r="B94" s="1156"/>
      <c r="C94" s="727" t="s">
        <v>1554</v>
      </c>
      <c r="D94" s="1156"/>
      <c r="E94" s="1156"/>
      <c r="F94" s="730">
        <f>300*12*1.27</f>
        <v>4572</v>
      </c>
      <c r="G94" s="921"/>
      <c r="H94" s="728">
        <f>+ROUND(F94/1.27,0)</f>
        <v>3600</v>
      </c>
      <c r="I94" s="728">
        <f>+F94-H94</f>
        <v>972</v>
      </c>
      <c r="J94" s="727" t="s">
        <v>1060</v>
      </c>
      <c r="L94" s="727" t="s">
        <v>1061</v>
      </c>
    </row>
    <row r="95" spans="1:12">
      <c r="A95" s="838"/>
      <c r="B95" s="1156"/>
      <c r="C95" s="727" t="s">
        <v>1555</v>
      </c>
      <c r="D95" s="1156"/>
      <c r="E95" s="1156"/>
      <c r="F95" s="730">
        <f>12*750*0.33*1.27</f>
        <v>3771.9</v>
      </c>
      <c r="G95" s="921"/>
      <c r="H95" s="728">
        <f>+ROUND(F95/1.27,0)</f>
        <v>2970</v>
      </c>
      <c r="I95" s="728">
        <f>+F95-H95</f>
        <v>801.90000000000009</v>
      </c>
      <c r="J95" s="727" t="s">
        <v>1060</v>
      </c>
    </row>
    <row r="96" spans="1:12">
      <c r="A96" s="838"/>
      <c r="B96" s="1156"/>
      <c r="C96" s="727" t="s">
        <v>1556</v>
      </c>
      <c r="D96" s="1156"/>
      <c r="E96" s="1156"/>
      <c r="F96" s="730">
        <f>9000+300</f>
        <v>9300</v>
      </c>
      <c r="G96" s="921"/>
      <c r="H96" s="728">
        <f>+ROUND(F96/1.27,0)</f>
        <v>7323</v>
      </c>
      <c r="I96" s="728">
        <f>+F96-H96</f>
        <v>1977</v>
      </c>
      <c r="J96" s="727" t="s">
        <v>1060</v>
      </c>
      <c r="L96" s="727" t="s">
        <v>1061</v>
      </c>
    </row>
    <row r="97" spans="1:12">
      <c r="A97" s="838"/>
      <c r="B97" s="1156"/>
      <c r="C97" s="727" t="s">
        <v>1557</v>
      </c>
      <c r="D97" s="1156"/>
      <c r="E97" s="1156"/>
      <c r="F97" s="730">
        <v>2500</v>
      </c>
      <c r="G97" s="921"/>
      <c r="H97" s="728">
        <f>+ROUND(F97/1.27,0)</f>
        <v>1969</v>
      </c>
      <c r="I97" s="728">
        <f>+F97-H97</f>
        <v>531</v>
      </c>
      <c r="J97" s="727" t="s">
        <v>1055</v>
      </c>
      <c r="L97" s="727" t="s">
        <v>1061</v>
      </c>
    </row>
    <row r="98" spans="1:12">
      <c r="A98" s="838"/>
      <c r="B98" s="1156"/>
      <c r="C98" s="1156"/>
      <c r="D98" s="1156"/>
      <c r="E98" s="1156"/>
      <c r="F98" s="730"/>
      <c r="G98" s="921"/>
    </row>
    <row r="99" spans="1:12">
      <c r="A99" s="838" t="s">
        <v>1070</v>
      </c>
      <c r="B99" s="794" t="s">
        <v>1323</v>
      </c>
      <c r="C99" s="1156"/>
      <c r="D99" s="1156"/>
      <c r="E99" s="1156"/>
      <c r="F99" s="793">
        <v>30000</v>
      </c>
      <c r="G99" s="842"/>
      <c r="H99" s="728">
        <f>+ROUND(F99/1.27,0)</f>
        <v>23622</v>
      </c>
      <c r="I99" s="728">
        <f>+F99-H99</f>
        <v>6378</v>
      </c>
      <c r="J99" s="727" t="s">
        <v>1060</v>
      </c>
    </row>
    <row r="100" spans="1:12">
      <c r="A100" s="838"/>
      <c r="B100" s="731"/>
      <c r="C100" s="1156"/>
      <c r="D100" s="1156"/>
      <c r="E100" s="1156"/>
      <c r="F100" s="840"/>
      <c r="G100" s="842"/>
    </row>
    <row r="101" spans="1:12">
      <c r="A101" s="838" t="s">
        <v>1166</v>
      </c>
      <c r="B101" s="794" t="s">
        <v>1324</v>
      </c>
      <c r="C101" s="1156"/>
      <c r="D101" s="1156"/>
      <c r="E101" s="1156"/>
      <c r="F101" s="793">
        <v>1500</v>
      </c>
      <c r="G101" s="842"/>
      <c r="H101" s="728">
        <f>+ROUND(F101/1.27,0)</f>
        <v>1181</v>
      </c>
      <c r="I101" s="728">
        <f>+F101-H101</f>
        <v>319</v>
      </c>
      <c r="J101" s="727" t="s">
        <v>1339</v>
      </c>
      <c r="L101" s="727" t="s">
        <v>1061</v>
      </c>
    </row>
    <row r="102" spans="1:12">
      <c r="A102" s="735"/>
      <c r="B102" s="1156"/>
      <c r="D102" s="1156"/>
      <c r="E102" s="1156"/>
      <c r="F102" s="730"/>
      <c r="G102" s="921"/>
      <c r="H102" s="727"/>
      <c r="I102" s="727"/>
    </row>
    <row r="103" spans="1:12">
      <c r="A103" s="735"/>
      <c r="B103" s="1156"/>
      <c r="D103" s="1156"/>
      <c r="E103" s="1156"/>
      <c r="F103" s="730"/>
      <c r="G103" s="921"/>
    </row>
    <row r="104" spans="1:12">
      <c r="A104" s="734" t="s">
        <v>6</v>
      </c>
      <c r="B104" s="731" t="s">
        <v>953</v>
      </c>
      <c r="C104" s="794"/>
      <c r="D104" s="1156"/>
      <c r="E104" s="1156"/>
      <c r="F104" s="795">
        <f>F106+F108+F110+F112+F114+F116+F118+F120+F122</f>
        <v>445097</v>
      </c>
      <c r="G104" s="1045"/>
      <c r="H104" s="1156"/>
    </row>
    <row r="105" spans="1:12">
      <c r="A105" s="734"/>
      <c r="B105" s="731"/>
      <c r="C105" s="794"/>
      <c r="D105" s="1156"/>
      <c r="E105" s="1156"/>
      <c r="F105" s="923"/>
      <c r="G105" s="1045"/>
      <c r="H105" s="1156"/>
    </row>
    <row r="106" spans="1:12" ht="36.75" customHeight="1">
      <c r="A106" s="736" t="s">
        <v>58</v>
      </c>
      <c r="B106" s="1291" t="s">
        <v>1558</v>
      </c>
      <c r="C106" s="1291"/>
      <c r="D106" s="1291"/>
      <c r="E106" s="1291"/>
      <c r="F106" s="1476">
        <v>50000</v>
      </c>
      <c r="G106" s="728"/>
      <c r="H106" s="728">
        <f>+F106</f>
        <v>50000</v>
      </c>
      <c r="J106" s="727" t="s">
        <v>974</v>
      </c>
      <c r="K106" s="727" t="s">
        <v>1062</v>
      </c>
    </row>
    <row r="107" spans="1:12">
      <c r="G107" s="728"/>
      <c r="H107" s="727"/>
    </row>
    <row r="108" spans="1:12">
      <c r="A108" s="736" t="s">
        <v>59</v>
      </c>
      <c r="B108" s="1291" t="s">
        <v>1325</v>
      </c>
      <c r="C108" s="1291"/>
      <c r="D108" s="1291"/>
      <c r="E108" s="1291"/>
      <c r="F108" s="1476">
        <v>6000</v>
      </c>
      <c r="G108" s="728"/>
      <c r="H108" s="728">
        <f>+ROUND(F108/1.27,0)</f>
        <v>4724</v>
      </c>
      <c r="I108" s="728">
        <f>+F108-H108</f>
        <v>1276</v>
      </c>
      <c r="J108" s="727" t="s">
        <v>1054</v>
      </c>
      <c r="K108" s="727" t="s">
        <v>1063</v>
      </c>
    </row>
    <row r="109" spans="1:12">
      <c r="G109" s="728"/>
      <c r="H109" s="727"/>
    </row>
    <row r="110" spans="1:12" ht="27" customHeight="1">
      <c r="A110" s="736" t="s">
        <v>60</v>
      </c>
      <c r="B110" s="1291" t="s">
        <v>1559</v>
      </c>
      <c r="C110" s="1291"/>
      <c r="D110" s="1291"/>
      <c r="E110" s="1291"/>
      <c r="F110" s="1477">
        <f>10000-2653</f>
        <v>7347</v>
      </c>
      <c r="G110" s="728"/>
      <c r="H110" s="728">
        <f>+ROUND(F110/1.27,0)</f>
        <v>5785</v>
      </c>
      <c r="I110" s="728">
        <f>+F110-H110</f>
        <v>1562</v>
      </c>
      <c r="J110" s="727" t="s">
        <v>819</v>
      </c>
      <c r="K110" s="727" t="s">
        <v>1062</v>
      </c>
    </row>
    <row r="111" spans="1:12">
      <c r="G111" s="728"/>
      <c r="H111" s="727"/>
    </row>
    <row r="112" spans="1:12">
      <c r="A112" s="736" t="s">
        <v>179</v>
      </c>
      <c r="B112" s="1291" t="s">
        <v>1562</v>
      </c>
      <c r="C112" s="1291"/>
      <c r="D112" s="1291"/>
      <c r="E112" s="1291"/>
      <c r="F112" s="1476">
        <v>10000</v>
      </c>
      <c r="G112" s="728"/>
      <c r="H112" s="728">
        <f>+ROUND(F112/1.27,0)</f>
        <v>7874</v>
      </c>
      <c r="I112" s="728">
        <f>+F112-H112</f>
        <v>2126</v>
      </c>
      <c r="J112" s="727" t="s">
        <v>974</v>
      </c>
      <c r="K112" s="727" t="s">
        <v>1062</v>
      </c>
    </row>
    <row r="113" spans="1:11">
      <c r="G113" s="728"/>
      <c r="H113" s="727"/>
    </row>
    <row r="114" spans="1:11" ht="24" customHeight="1">
      <c r="A114" s="736" t="s">
        <v>180</v>
      </c>
      <c r="B114" s="1291" t="s">
        <v>1560</v>
      </c>
      <c r="C114" s="1291"/>
      <c r="D114" s="1291"/>
      <c r="E114" s="1291"/>
      <c r="F114" s="1476">
        <v>5000</v>
      </c>
      <c r="G114" s="728"/>
      <c r="H114" s="728">
        <f>+ROUND(F114/1.27,0)</f>
        <v>3937</v>
      </c>
      <c r="I114" s="728">
        <f>+F114-H114</f>
        <v>1063</v>
      </c>
      <c r="J114" s="727" t="s">
        <v>974</v>
      </c>
      <c r="K114" s="727" t="s">
        <v>1069</v>
      </c>
    </row>
    <row r="115" spans="1:11">
      <c r="F115" s="1053"/>
      <c r="G115" s="728"/>
      <c r="H115" s="727"/>
    </row>
    <row r="116" spans="1:11" ht="24.75" customHeight="1">
      <c r="A116" s="736" t="s">
        <v>777</v>
      </c>
      <c r="B116" s="1291" t="s">
        <v>1565</v>
      </c>
      <c r="C116" s="1291"/>
      <c r="D116" s="1291"/>
      <c r="E116" s="1291"/>
      <c r="F116" s="1477">
        <f>500-500+1000+1500-1500</f>
        <v>1000</v>
      </c>
      <c r="G116" s="728"/>
      <c r="H116" s="728">
        <f>+ROUND(F116/1.27,0)</f>
        <v>787</v>
      </c>
      <c r="I116" s="728">
        <f>+F116-H116</f>
        <v>213</v>
      </c>
      <c r="J116" s="727" t="s">
        <v>1326</v>
      </c>
      <c r="K116" s="727" t="s">
        <v>1069</v>
      </c>
    </row>
    <row r="117" spans="1:11">
      <c r="G117" s="728"/>
    </row>
    <row r="118" spans="1:11">
      <c r="A118" s="736" t="s">
        <v>950</v>
      </c>
      <c r="B118" s="1291" t="s">
        <v>1561</v>
      </c>
      <c r="C118" s="1291"/>
      <c r="D118" s="1291"/>
      <c r="E118" s="1291"/>
      <c r="F118" s="1477">
        <v>8500</v>
      </c>
      <c r="H118" s="728">
        <f>+ROUND(F118/1.27,0)</f>
        <v>6693</v>
      </c>
      <c r="I118" s="728">
        <f>+F118-H118</f>
        <v>1807</v>
      </c>
      <c r="J118" s="727" t="s">
        <v>974</v>
      </c>
      <c r="K118" s="727" t="s">
        <v>1069</v>
      </c>
    </row>
    <row r="120" spans="1:11">
      <c r="A120" s="736" t="s">
        <v>951</v>
      </c>
      <c r="B120" s="1291" t="s">
        <v>1563</v>
      </c>
      <c r="C120" s="1291"/>
      <c r="D120" s="1291"/>
      <c r="E120" s="1291"/>
      <c r="F120" s="1476">
        <v>12000</v>
      </c>
      <c r="H120" s="728">
        <f>+ROUND(F120,0)</f>
        <v>12000</v>
      </c>
      <c r="I120" s="728">
        <f>+F120-H120</f>
        <v>0</v>
      </c>
      <c r="K120" s="727" t="s">
        <v>1564</v>
      </c>
    </row>
    <row r="122" spans="1:11">
      <c r="A122" s="736" t="s">
        <v>952</v>
      </c>
      <c r="B122" s="1291" t="s">
        <v>1366</v>
      </c>
      <c r="C122" s="1291"/>
      <c r="D122" s="1291"/>
      <c r="E122" s="1291"/>
      <c r="F122" s="1477">
        <v>345250</v>
      </c>
      <c r="G122" s="728"/>
      <c r="H122" s="728">
        <f>+ROUND(F122/1.27,0)</f>
        <v>271850</v>
      </c>
      <c r="I122" s="728">
        <f>+F122-H122</f>
        <v>73400</v>
      </c>
      <c r="J122" s="727" t="s">
        <v>1365</v>
      </c>
      <c r="K122" s="727" t="s">
        <v>1069</v>
      </c>
    </row>
    <row r="123" spans="1:11">
      <c r="F123" s="727"/>
      <c r="G123" s="728"/>
    </row>
    <row r="124" spans="1:11">
      <c r="B124" s="1291"/>
      <c r="C124" s="1291"/>
      <c r="D124" s="1291"/>
      <c r="E124" s="1291"/>
      <c r="G124" s="728"/>
    </row>
  </sheetData>
  <mergeCells count="47">
    <mergeCell ref="B59:E59"/>
    <mergeCell ref="B64:E64"/>
    <mergeCell ref="B65:E65"/>
    <mergeCell ref="B66:E66"/>
    <mergeCell ref="B39:E39"/>
    <mergeCell ref="B61:E61"/>
    <mergeCell ref="B44:E44"/>
    <mergeCell ref="B53:E53"/>
    <mergeCell ref="B43:E43"/>
    <mergeCell ref="B45:E45"/>
    <mergeCell ref="B46:E46"/>
    <mergeCell ref="B57:E57"/>
    <mergeCell ref="A3:F3"/>
    <mergeCell ref="B31:E31"/>
    <mergeCell ref="B8:E8"/>
    <mergeCell ref="B12:E12"/>
    <mergeCell ref="B10:E10"/>
    <mergeCell ref="B28:E28"/>
    <mergeCell ref="B16:E16"/>
    <mergeCell ref="B18:E18"/>
    <mergeCell ref="B20:E20"/>
    <mergeCell ref="B22:E22"/>
    <mergeCell ref="B24:E24"/>
    <mergeCell ref="B14:E14"/>
    <mergeCell ref="B26:E26"/>
    <mergeCell ref="B33:E33"/>
    <mergeCell ref="B34:E34"/>
    <mergeCell ref="B47:E47"/>
    <mergeCell ref="B51:E51"/>
    <mergeCell ref="B48:E48"/>
    <mergeCell ref="B36:E36"/>
    <mergeCell ref="B42:E42"/>
    <mergeCell ref="B120:E120"/>
    <mergeCell ref="B122:E122"/>
    <mergeCell ref="B124:E124"/>
    <mergeCell ref="B73:E73"/>
    <mergeCell ref="B116:E116"/>
    <mergeCell ref="B118:E118"/>
    <mergeCell ref="B110:E110"/>
    <mergeCell ref="B112:E112"/>
    <mergeCell ref="B114:E114"/>
    <mergeCell ref="B79:E79"/>
    <mergeCell ref="B81:E81"/>
    <mergeCell ref="B84:E84"/>
    <mergeCell ref="B87:E87"/>
    <mergeCell ref="B106:E106"/>
    <mergeCell ref="B108:E108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84" fitToHeight="4" orientation="portrait" horizontalDpi="300" verticalDpi="300" r:id="rId1"/>
  <headerFooter>
    <oddHeader>&amp;C 1. függelék - &amp;P. oldal</oddHeader>
  </headerFooter>
  <rowBreaks count="1" manualBreakCount="1">
    <brk id="53" max="5" man="1"/>
  </rowBreaks>
</worksheet>
</file>

<file path=xl/worksheets/sheet27.xml><?xml version="1.0" encoding="utf-8"?>
<worksheet xmlns="http://schemas.openxmlformats.org/spreadsheetml/2006/main" xmlns:r="http://schemas.openxmlformats.org/officeDocument/2006/relationships">
  <sheetPr codeName="Munka31">
    <tabColor rgb="FF00B0F0"/>
    <pageSetUpPr fitToPage="1"/>
  </sheetPr>
  <dimension ref="A1:F41"/>
  <sheetViews>
    <sheetView zoomScaleNormal="100" workbookViewId="0"/>
  </sheetViews>
  <sheetFormatPr defaultColWidth="10.28515625" defaultRowHeight="12"/>
  <cols>
    <col min="1" max="1" width="4.7109375" style="171" bestFit="1" customWidth="1"/>
    <col min="2" max="2" width="74.42578125" style="171" customWidth="1"/>
    <col min="3" max="3" width="9" style="171" customWidth="1"/>
    <col min="4" max="6" width="8.28515625" style="171" customWidth="1"/>
    <col min="7" max="16384" width="10.28515625" style="171"/>
  </cols>
  <sheetData>
    <row r="1" spans="1:6" s="169" customFormat="1" ht="15.75">
      <c r="F1" s="218" t="s">
        <v>811</v>
      </c>
    </row>
    <row r="2" spans="1:6" s="169" customFormat="1" ht="15.75">
      <c r="F2" s="218"/>
    </row>
    <row r="3" spans="1:6" s="775" customFormat="1" ht="32.25" customHeight="1">
      <c r="A3" s="1305" t="s">
        <v>1441</v>
      </c>
      <c r="B3" s="1305"/>
      <c r="C3" s="1305"/>
      <c r="D3" s="1305"/>
      <c r="E3" s="1305"/>
      <c r="F3" s="1305"/>
    </row>
    <row r="4" spans="1:6" s="226" customFormat="1">
      <c r="A4" s="772"/>
      <c r="B4" s="772"/>
      <c r="C4" s="772"/>
      <c r="D4" s="772"/>
      <c r="E4" s="772"/>
      <c r="F4" s="772"/>
    </row>
    <row r="5" spans="1:6" ht="12.75" thickBot="1">
      <c r="F5" s="273" t="s">
        <v>457</v>
      </c>
    </row>
    <row r="6" spans="1:6">
      <c r="A6" s="1306" t="s">
        <v>17</v>
      </c>
      <c r="B6" s="1308" t="s">
        <v>7</v>
      </c>
      <c r="C6" s="1310" t="s">
        <v>810</v>
      </c>
      <c r="D6" s="1311"/>
      <c r="E6" s="1311"/>
      <c r="F6" s="1312"/>
    </row>
    <row r="7" spans="1:6" s="773" customFormat="1" ht="12.75" thickBot="1">
      <c r="A7" s="1307"/>
      <c r="B7" s="1309"/>
      <c r="C7" s="1124" t="s">
        <v>459</v>
      </c>
      <c r="D7" s="755" t="s">
        <v>460</v>
      </c>
      <c r="E7" s="755" t="s">
        <v>461</v>
      </c>
      <c r="F7" s="756" t="s">
        <v>462</v>
      </c>
    </row>
    <row r="8" spans="1:6" s="773" customFormat="1" ht="12.75" thickBot="1">
      <c r="A8" s="271">
        <v>1</v>
      </c>
      <c r="B8" s="270">
        <v>2</v>
      </c>
      <c r="C8" s="271">
        <v>3</v>
      </c>
      <c r="D8" s="274">
        <v>4</v>
      </c>
      <c r="E8" s="274">
        <v>5</v>
      </c>
      <c r="F8" s="270">
        <v>6</v>
      </c>
    </row>
    <row r="9" spans="1:6" s="773" customFormat="1">
      <c r="A9" s="757" t="s">
        <v>4</v>
      </c>
      <c r="B9" s="276" t="s">
        <v>964</v>
      </c>
      <c r="C9" s="758">
        <f>+'5.mell_adósság2020'!C8</f>
        <v>367102</v>
      </c>
      <c r="D9" s="277">
        <f>+'5.mell_adósság2020'!D8</f>
        <v>379951</v>
      </c>
      <c r="E9" s="277">
        <f>+'5.mell_adósság2020'!E8</f>
        <v>391350</v>
      </c>
      <c r="F9" s="759">
        <f>+'5.mell_adósság2020'!F8</f>
        <v>404656</v>
      </c>
    </row>
    <row r="10" spans="1:6" s="773" customFormat="1" ht="24">
      <c r="A10" s="760" t="s">
        <v>5</v>
      </c>
      <c r="B10" s="279" t="s">
        <v>841</v>
      </c>
      <c r="C10" s="758">
        <f>+'5.mell_adósság2020'!C9</f>
        <v>236</v>
      </c>
      <c r="D10" s="277">
        <f>+'5.mell_adósság2020'!D9</f>
        <v>236</v>
      </c>
      <c r="E10" s="277">
        <f>+'5.mell_adósság2020'!E9</f>
        <v>236</v>
      </c>
      <c r="F10" s="759">
        <f>+'5.mell_adósság2020'!F9</f>
        <v>236</v>
      </c>
    </row>
    <row r="11" spans="1:6" s="773" customFormat="1">
      <c r="A11" s="760" t="s">
        <v>6</v>
      </c>
      <c r="B11" s="279" t="s">
        <v>842</v>
      </c>
      <c r="C11" s="758">
        <f>+'5.mell_adósság2020'!C10</f>
        <v>0</v>
      </c>
      <c r="D11" s="277">
        <f>+'5.mell_adósság2020'!D10</f>
        <v>0</v>
      </c>
      <c r="E11" s="277">
        <f>+'5.mell_adósság2020'!E10</f>
        <v>0</v>
      </c>
      <c r="F11" s="759">
        <f>+'5.mell_adósság2020'!F10</f>
        <v>0</v>
      </c>
    </row>
    <row r="12" spans="1:6" s="773" customFormat="1" ht="24">
      <c r="A12" s="760" t="s">
        <v>3</v>
      </c>
      <c r="B12" s="279" t="s">
        <v>843</v>
      </c>
      <c r="C12" s="758">
        <f>+'5.mell_adósság2020'!C11</f>
        <v>40350</v>
      </c>
      <c r="D12" s="277">
        <f>+'5.mell_adósság2020'!D11</f>
        <v>350</v>
      </c>
      <c r="E12" s="277">
        <f>+'5.mell_adósság2020'!E11</f>
        <v>350</v>
      </c>
      <c r="F12" s="759">
        <f>+'5.mell_adósság2020'!F11</f>
        <v>350</v>
      </c>
    </row>
    <row r="13" spans="1:6" s="773" customFormat="1" ht="12.75">
      <c r="A13" s="760" t="s">
        <v>16</v>
      </c>
      <c r="B13" s="754" t="s">
        <v>844</v>
      </c>
      <c r="C13" s="758">
        <f>+'5.mell_adósság2020'!C12</f>
        <v>19453</v>
      </c>
      <c r="D13" s="277">
        <f>+'5.mell_adósság2020'!D12</f>
        <v>6900</v>
      </c>
      <c r="E13" s="277">
        <f>+'5.mell_adósság2020'!E12</f>
        <v>6900</v>
      </c>
      <c r="F13" s="759">
        <f>+'5.mell_adósság2020'!F12</f>
        <v>6900</v>
      </c>
    </row>
    <row r="14" spans="1:6" s="773" customFormat="1" ht="12.75" thickBot="1">
      <c r="A14" s="760" t="s">
        <v>15</v>
      </c>
      <c r="B14" s="282" t="s">
        <v>965</v>
      </c>
      <c r="C14" s="758">
        <f>+'5.mell_adósság2020'!C13</f>
        <v>0</v>
      </c>
      <c r="D14" s="277">
        <f>+'5.mell_adósság2020'!D13</f>
        <v>0</v>
      </c>
      <c r="E14" s="277">
        <f>+'5.mell_adósság2020'!E13</f>
        <v>0</v>
      </c>
      <c r="F14" s="759">
        <f>+'5.mell_adósság2020'!F13</f>
        <v>0</v>
      </c>
    </row>
    <row r="15" spans="1:6" s="774" customFormat="1" ht="12.75" thickBot="1">
      <c r="A15" s="761" t="s">
        <v>14</v>
      </c>
      <c r="B15" s="285" t="s">
        <v>848</v>
      </c>
      <c r="C15" s="762">
        <f>+C9+C10+C11+C12+C13+C14</f>
        <v>427141</v>
      </c>
      <c r="D15" s="287">
        <f t="shared" ref="D15:F15" si="0">+D9+D10+D11+D12+D13+D14</f>
        <v>387437</v>
      </c>
      <c r="E15" s="287">
        <f t="shared" si="0"/>
        <v>398836</v>
      </c>
      <c r="F15" s="763">
        <f t="shared" si="0"/>
        <v>412142</v>
      </c>
    </row>
    <row r="16" spans="1:6" s="774" customFormat="1" ht="12.75" thickBot="1">
      <c r="A16" s="761" t="s">
        <v>13</v>
      </c>
      <c r="B16" s="285" t="s">
        <v>847</v>
      </c>
      <c r="C16" s="762">
        <f>+ROUNDDOWN(C15*0.5,0)</f>
        <v>213570</v>
      </c>
      <c r="D16" s="287">
        <f t="shared" ref="D16:F16" si="1">+ROUNDDOWN(D15*0.5,0)</f>
        <v>193718</v>
      </c>
      <c r="E16" s="287">
        <f t="shared" si="1"/>
        <v>199418</v>
      </c>
      <c r="F16" s="763">
        <f t="shared" si="1"/>
        <v>206071</v>
      </c>
    </row>
    <row r="17" spans="1:6" s="774" customFormat="1" ht="12.75" thickBot="1">
      <c r="A17" s="761" t="s">
        <v>12</v>
      </c>
      <c r="B17" s="285" t="s">
        <v>856</v>
      </c>
      <c r="C17" s="762">
        <f>+C18+C19+C20+C21+C22+C23+C24+C25+C26</f>
        <v>52412</v>
      </c>
      <c r="D17" s="287">
        <f t="shared" ref="D17:F17" si="2">+D18+D19+D20+D21+D22+D23+D24+D25+D26</f>
        <v>28308</v>
      </c>
      <c r="E17" s="287">
        <f t="shared" si="2"/>
        <v>2000</v>
      </c>
      <c r="F17" s="763">
        <f t="shared" si="2"/>
        <v>2000</v>
      </c>
    </row>
    <row r="18" spans="1:6" s="773" customFormat="1">
      <c r="A18" s="757" t="s">
        <v>11</v>
      </c>
      <c r="B18" s="276" t="s">
        <v>465</v>
      </c>
      <c r="C18" s="764">
        <f>+'5.mell_adósság2020'!C17</f>
        <v>0</v>
      </c>
      <c r="D18" s="280">
        <f>+'5.mell_adósság2020'!D17</f>
        <v>0</v>
      </c>
      <c r="E18" s="280">
        <f>+'5.mell_adósság2020'!E17</f>
        <v>0</v>
      </c>
      <c r="F18" s="765">
        <f>+'5.mell_adósság2020'!F17</f>
        <v>0</v>
      </c>
    </row>
    <row r="19" spans="1:6" s="773" customFormat="1">
      <c r="A19" s="760" t="s">
        <v>10</v>
      </c>
      <c r="B19" s="279" t="s">
        <v>466</v>
      </c>
      <c r="C19" s="764">
        <f>+'5.mell_adósság2020'!C18</f>
        <v>0</v>
      </c>
      <c r="D19" s="280">
        <f>+'5.mell_adósság2020'!D18</f>
        <v>0</v>
      </c>
      <c r="E19" s="280">
        <f>+'5.mell_adósság2020'!E18</f>
        <v>0</v>
      </c>
      <c r="F19" s="765">
        <f>+'5.mell_adósság2020'!F18</f>
        <v>0</v>
      </c>
    </row>
    <row r="20" spans="1:6" s="773" customFormat="1">
      <c r="A20" s="760" t="s">
        <v>9</v>
      </c>
      <c r="B20" s="279" t="s">
        <v>467</v>
      </c>
      <c r="C20" s="764">
        <f>+'5.mell_adósság2020'!C19</f>
        <v>0</v>
      </c>
      <c r="D20" s="280">
        <f>+'5.mell_adósság2020'!D19</f>
        <v>0</v>
      </c>
      <c r="E20" s="280">
        <f>+'5.mell_adósság2020'!E19</f>
        <v>0</v>
      </c>
      <c r="F20" s="765">
        <f>+'5.mell_adósság2020'!F19</f>
        <v>0</v>
      </c>
    </row>
    <row r="21" spans="1:6" s="773" customFormat="1">
      <c r="A21" s="760" t="s">
        <v>45</v>
      </c>
      <c r="B21" s="279" t="s">
        <v>468</v>
      </c>
      <c r="C21" s="764">
        <f>+'5.mell_adósság2020'!C20</f>
        <v>0</v>
      </c>
      <c r="D21" s="280">
        <f>+'5.mell_adósság2020'!D20</f>
        <v>0</v>
      </c>
      <c r="E21" s="280">
        <f>+'5.mell_adósság2020'!E20</f>
        <v>0</v>
      </c>
      <c r="F21" s="765">
        <f>+'5.mell_adósság2020'!F20</f>
        <v>0</v>
      </c>
    </row>
    <row r="22" spans="1:6" s="773" customFormat="1">
      <c r="A22" s="760" t="s">
        <v>44</v>
      </c>
      <c r="B22" s="279" t="s">
        <v>469</v>
      </c>
      <c r="C22" s="764">
        <f>+'5.mell_adósság2020'!C21</f>
        <v>0</v>
      </c>
      <c r="D22" s="280">
        <f>+'5.mell_adósság2020'!D21</f>
        <v>0</v>
      </c>
      <c r="E22" s="280">
        <f>+'5.mell_adósság2020'!E21</f>
        <v>0</v>
      </c>
      <c r="F22" s="765">
        <f>+'5.mell_adósság2020'!F21</f>
        <v>0</v>
      </c>
    </row>
    <row r="23" spans="1:6" s="773" customFormat="1" ht="24">
      <c r="A23" s="760" t="s">
        <v>43</v>
      </c>
      <c r="B23" s="279" t="s">
        <v>850</v>
      </c>
      <c r="C23" s="764">
        <f>+'5.mell_adósság2020'!C22</f>
        <v>0</v>
      </c>
      <c r="D23" s="280">
        <f>+'5.mell_adósság2020'!D22</f>
        <v>0</v>
      </c>
      <c r="E23" s="280">
        <f>+'5.mell_adósság2020'!E22</f>
        <v>0</v>
      </c>
      <c r="F23" s="765">
        <f>+'5.mell_adósság2020'!F22</f>
        <v>0</v>
      </c>
    </row>
    <row r="24" spans="1:6" s="773" customFormat="1">
      <c r="A24" s="760" t="s">
        <v>40</v>
      </c>
      <c r="B24" s="279" t="s">
        <v>849</v>
      </c>
      <c r="C24" s="764">
        <f>+'5.mell_adósság2020'!C23</f>
        <v>52412</v>
      </c>
      <c r="D24" s="280">
        <f>+'5.mell_adósság2020'!D23</f>
        <v>28308</v>
      </c>
      <c r="E24" s="280">
        <f>+'5.mell_adósság2020'!E23</f>
        <v>2000</v>
      </c>
      <c r="F24" s="765">
        <f>+'5.mell_adósság2020'!F23</f>
        <v>2000</v>
      </c>
    </row>
    <row r="25" spans="1:6" s="773" customFormat="1" ht="24">
      <c r="A25" s="760" t="s">
        <v>39</v>
      </c>
      <c r="B25" s="289" t="s">
        <v>851</v>
      </c>
      <c r="C25" s="764">
        <f>+'5.mell_adósság2020'!C24</f>
        <v>0</v>
      </c>
      <c r="D25" s="280">
        <f>+'5.mell_adósság2020'!D24</f>
        <v>0</v>
      </c>
      <c r="E25" s="280">
        <f>+'5.mell_adósság2020'!E24</f>
        <v>0</v>
      </c>
      <c r="F25" s="765">
        <f>+'5.mell_adósság2020'!F24</f>
        <v>0</v>
      </c>
    </row>
    <row r="26" spans="1:6" s="773" customFormat="1" ht="12.75" thickBot="1">
      <c r="A26" s="766" t="s">
        <v>38</v>
      </c>
      <c r="B26" s="289" t="s">
        <v>966</v>
      </c>
      <c r="C26" s="764">
        <f>+'5.mell_adósság2020'!C25</f>
        <v>0</v>
      </c>
      <c r="D26" s="280">
        <f>+'5.mell_adósság2020'!D25</f>
        <v>0</v>
      </c>
      <c r="E26" s="280">
        <f>+'5.mell_adósság2020'!E25</f>
        <v>0</v>
      </c>
      <c r="F26" s="765">
        <f>+'5.mell_adósság2020'!F25</f>
        <v>0</v>
      </c>
    </row>
    <row r="27" spans="1:6" s="774" customFormat="1" ht="15" customHeight="1" thickBot="1">
      <c r="A27" s="761" t="s">
        <v>36</v>
      </c>
      <c r="B27" s="285" t="s">
        <v>857</v>
      </c>
      <c r="C27" s="762">
        <f>+C28+C29+C30+C31+C32+C33+C34+C35+C36</f>
        <v>0</v>
      </c>
      <c r="D27" s="287">
        <f t="shared" ref="D27:F27" si="3">+D28+D29+D30+D31+D32+D33+D34+D35+D36</f>
        <v>10000</v>
      </c>
      <c r="E27" s="287">
        <f t="shared" si="3"/>
        <v>0</v>
      </c>
      <c r="F27" s="763">
        <f t="shared" si="3"/>
        <v>0</v>
      </c>
    </row>
    <row r="28" spans="1:6" s="773" customFormat="1">
      <c r="A28" s="757" t="s">
        <v>35</v>
      </c>
      <c r="B28" s="276" t="s">
        <v>465</v>
      </c>
      <c r="C28" s="758">
        <f>+'5.mell_adósság2020'!C27</f>
        <v>0</v>
      </c>
      <c r="D28" s="277">
        <f>+'5.mell_adósság2020'!D27</f>
        <v>10000</v>
      </c>
      <c r="E28" s="277">
        <f>+'5.mell_adósság2020'!E27</f>
        <v>0</v>
      </c>
      <c r="F28" s="759">
        <f>+'5.mell_adósság2020'!F27</f>
        <v>0</v>
      </c>
    </row>
    <row r="29" spans="1:6">
      <c r="A29" s="760" t="s">
        <v>34</v>
      </c>
      <c r="B29" s="279" t="s">
        <v>466</v>
      </c>
      <c r="C29" s="764">
        <f>+'5.mell_adósság2020'!C28</f>
        <v>0</v>
      </c>
      <c r="D29" s="280">
        <f>+'5.mell_adósság2020'!D28</f>
        <v>0</v>
      </c>
      <c r="E29" s="280">
        <f>+'5.mell_adósság2020'!E28</f>
        <v>0</v>
      </c>
      <c r="F29" s="765">
        <f>+'5.mell_adósság2020'!F28</f>
        <v>0</v>
      </c>
    </row>
    <row r="30" spans="1:6">
      <c r="A30" s="760" t="s">
        <v>33</v>
      </c>
      <c r="B30" s="279" t="s">
        <v>467</v>
      </c>
      <c r="C30" s="764">
        <f>+'5.mell_adósság2020'!C29</f>
        <v>0</v>
      </c>
      <c r="D30" s="280">
        <f>+'5.mell_adósság2020'!D29</f>
        <v>0</v>
      </c>
      <c r="E30" s="280">
        <f>+'5.mell_adósság2020'!E29</f>
        <v>0</v>
      </c>
      <c r="F30" s="765">
        <f>+'5.mell_adósság2020'!F29</f>
        <v>0</v>
      </c>
    </row>
    <row r="31" spans="1:6" s="773" customFormat="1">
      <c r="A31" s="760" t="s">
        <v>32</v>
      </c>
      <c r="B31" s="279" t="s">
        <v>468</v>
      </c>
      <c r="C31" s="764">
        <f>+'5.mell_adósság2020'!C30</f>
        <v>0</v>
      </c>
      <c r="D31" s="280">
        <f>+'5.mell_adósság2020'!D30</f>
        <v>0</v>
      </c>
      <c r="E31" s="280">
        <f>+'5.mell_adósság2020'!E30</f>
        <v>0</v>
      </c>
      <c r="F31" s="765">
        <f>+'5.mell_adósság2020'!F30</f>
        <v>0</v>
      </c>
    </row>
    <row r="32" spans="1:6">
      <c r="A32" s="760" t="s">
        <v>470</v>
      </c>
      <c r="B32" s="279" t="s">
        <v>469</v>
      </c>
      <c r="C32" s="764">
        <f>+'5.mell_adósság2020'!C31</f>
        <v>0</v>
      </c>
      <c r="D32" s="280">
        <f>+'5.mell_adósság2020'!D31</f>
        <v>0</v>
      </c>
      <c r="E32" s="280">
        <f>+'5.mell_adósság2020'!E31</f>
        <v>0</v>
      </c>
      <c r="F32" s="765">
        <f>+'5.mell_adósság2020'!F31</f>
        <v>0</v>
      </c>
    </row>
    <row r="33" spans="1:6" ht="24">
      <c r="A33" s="760" t="s">
        <v>471</v>
      </c>
      <c r="B33" s="279" t="s">
        <v>850</v>
      </c>
      <c r="C33" s="764">
        <f>+'5.mell_adósság2020'!C32</f>
        <v>0</v>
      </c>
      <c r="D33" s="280">
        <f>+'5.mell_adósság2020'!D32</f>
        <v>0</v>
      </c>
      <c r="E33" s="280">
        <f>+'5.mell_adósság2020'!E32</f>
        <v>0</v>
      </c>
      <c r="F33" s="765">
        <f>+'5.mell_adósság2020'!F32</f>
        <v>0</v>
      </c>
    </row>
    <row r="34" spans="1:6">
      <c r="A34" s="760" t="s">
        <v>472</v>
      </c>
      <c r="B34" s="279" t="s">
        <v>849</v>
      </c>
      <c r="C34" s="764">
        <f>+'5.mell_adósság2020'!C33</f>
        <v>0</v>
      </c>
      <c r="D34" s="280">
        <f>+'5.mell_adósság2020'!D33</f>
        <v>0</v>
      </c>
      <c r="E34" s="280">
        <f>+'5.mell_adósság2020'!E33</f>
        <v>0</v>
      </c>
      <c r="F34" s="765">
        <f>+'5.mell_adósság2020'!F33</f>
        <v>0</v>
      </c>
    </row>
    <row r="35" spans="1:6" ht="24">
      <c r="A35" s="760" t="s">
        <v>473</v>
      </c>
      <c r="B35" s="289" t="s">
        <v>851</v>
      </c>
      <c r="C35" s="764">
        <f>+'5.mell_adósság2020'!C34</f>
        <v>0</v>
      </c>
      <c r="D35" s="280">
        <f>+'5.mell_adósság2020'!D34</f>
        <v>0</v>
      </c>
      <c r="E35" s="280">
        <f>+'5.mell_adósság2020'!E34</f>
        <v>0</v>
      </c>
      <c r="F35" s="765">
        <f>+'5.mell_adósság2020'!F34</f>
        <v>0</v>
      </c>
    </row>
    <row r="36" spans="1:6" ht="12.75" thickBot="1">
      <c r="A36" s="766" t="s">
        <v>486</v>
      </c>
      <c r="B36" s="289" t="s">
        <v>966</v>
      </c>
      <c r="C36" s="768">
        <f>+'5.mell_adósság2020'!C35</f>
        <v>0</v>
      </c>
      <c r="D36" s="283">
        <f>+'5.mell_adósság2020'!D35</f>
        <v>0</v>
      </c>
      <c r="E36" s="283">
        <f>+'5.mell_adósság2020'!E35</f>
        <v>0</v>
      </c>
      <c r="F36" s="767">
        <f>+'5.mell_adósság2020'!F35</f>
        <v>0</v>
      </c>
    </row>
    <row r="37" spans="1:6" s="226" customFormat="1" ht="12.75" thickBot="1">
      <c r="A37" s="761" t="s">
        <v>487</v>
      </c>
      <c r="B37" s="285" t="s">
        <v>854</v>
      </c>
      <c r="C37" s="762">
        <f>+C17+C27</f>
        <v>52412</v>
      </c>
      <c r="D37" s="287">
        <f t="shared" ref="D37:F37" si="4">+D17+D27</f>
        <v>38308</v>
      </c>
      <c r="E37" s="287">
        <f t="shared" si="4"/>
        <v>2000</v>
      </c>
      <c r="F37" s="763">
        <f t="shared" si="4"/>
        <v>2000</v>
      </c>
    </row>
    <row r="38" spans="1:6" s="226" customFormat="1" ht="12.75" thickBot="1">
      <c r="A38" s="769" t="s">
        <v>488</v>
      </c>
      <c r="B38" s="290" t="s">
        <v>855</v>
      </c>
      <c r="C38" s="770">
        <f>+C16-C37</f>
        <v>161158</v>
      </c>
      <c r="D38" s="291">
        <f t="shared" ref="D38:F38" si="5">+D16-D37</f>
        <v>155410</v>
      </c>
      <c r="E38" s="291">
        <f t="shared" si="5"/>
        <v>197418</v>
      </c>
      <c r="F38" s="771">
        <f t="shared" si="5"/>
        <v>204071</v>
      </c>
    </row>
    <row r="40" spans="1:6" hidden="1">
      <c r="C40" s="296">
        <f>+'5.mell_adósság2020'!C37</f>
        <v>161158</v>
      </c>
      <c r="D40" s="296">
        <f>+'5.mell_adósság2020'!D37</f>
        <v>155410</v>
      </c>
      <c r="E40" s="296">
        <f>+'5.mell_adósság2020'!E37</f>
        <v>197418</v>
      </c>
      <c r="F40" s="296">
        <f>+'5.mell_adósság2020'!F37</f>
        <v>204071</v>
      </c>
    </row>
    <row r="41" spans="1:6" hidden="1">
      <c r="C41" s="296">
        <f>+C38-C40</f>
        <v>0</v>
      </c>
      <c r="D41" s="296">
        <f t="shared" ref="D41:F41" si="6">+D38-D40</f>
        <v>0</v>
      </c>
      <c r="E41" s="296">
        <f t="shared" si="6"/>
        <v>0</v>
      </c>
      <c r="F41" s="296">
        <f t="shared" si="6"/>
        <v>0</v>
      </c>
    </row>
  </sheetData>
  <mergeCells count="4">
    <mergeCell ref="A3:F3"/>
    <mergeCell ref="A6:A7"/>
    <mergeCell ref="B6:B7"/>
    <mergeCell ref="C6:F6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Munka7">
    <tabColor rgb="FF00B0F0"/>
  </sheetPr>
  <dimension ref="A1:Z242"/>
  <sheetViews>
    <sheetView zoomScaleNormal="100" workbookViewId="0"/>
  </sheetViews>
  <sheetFormatPr defaultColWidth="9.140625" defaultRowHeight="12"/>
  <cols>
    <col min="1" max="1" width="6.5703125" style="4" customWidth="1"/>
    <col min="2" max="2" width="109.5703125" style="4" bestFit="1" customWidth="1"/>
    <col min="3" max="6" width="9.28515625" style="4" customWidth="1"/>
    <col min="7" max="7" width="10.5703125" style="4" hidden="1" customWidth="1"/>
    <col min="8" max="8" width="9.140625" style="4" hidden="1" customWidth="1"/>
    <col min="9" max="16384" width="9.140625" style="4"/>
  </cols>
  <sheetData>
    <row r="1" spans="1:8" s="63" customFormat="1" ht="15.75">
      <c r="F1" s="64" t="s">
        <v>47</v>
      </c>
    </row>
    <row r="2" spans="1:8" s="63" customFormat="1" ht="15.75"/>
    <row r="3" spans="1:8" s="65" customFormat="1" ht="15.75">
      <c r="A3" s="1210" t="s">
        <v>330</v>
      </c>
      <c r="B3" s="1210"/>
      <c r="C3" s="1210"/>
      <c r="D3" s="1210"/>
      <c r="E3" s="1210"/>
      <c r="F3" s="1210"/>
    </row>
    <row r="4" spans="1:8" s="65" customFormat="1" ht="15.75">
      <c r="A4" s="1210" t="s">
        <v>1443</v>
      </c>
      <c r="B4" s="1210"/>
      <c r="C4" s="1210"/>
      <c r="D4" s="1210"/>
      <c r="E4" s="1210"/>
      <c r="F4" s="1210"/>
    </row>
    <row r="5" spans="1:8" s="63" customFormat="1" ht="15.75"/>
    <row r="6" spans="1:8" s="65" customFormat="1" ht="15.75">
      <c r="A6" s="1210" t="s">
        <v>48</v>
      </c>
      <c r="B6" s="1210"/>
      <c r="C6" s="1210"/>
      <c r="D6" s="1210"/>
      <c r="E6" s="1210"/>
      <c r="F6" s="1210"/>
    </row>
    <row r="7" spans="1:8" s="46" customFormat="1" ht="12.75" thickBot="1">
      <c r="A7" s="48" t="s">
        <v>279</v>
      </c>
      <c r="F7" s="47" t="s">
        <v>280</v>
      </c>
    </row>
    <row r="8" spans="1:8" s="9" customFormat="1" ht="54" customHeight="1" thickBot="1">
      <c r="A8" s="95" t="s">
        <v>17</v>
      </c>
      <c r="B8" s="109" t="s">
        <v>327</v>
      </c>
      <c r="C8" s="5" t="s">
        <v>1442</v>
      </c>
      <c r="D8" s="6" t="s">
        <v>51</v>
      </c>
      <c r="E8" s="7" t="s">
        <v>52</v>
      </c>
      <c r="F8" s="8" t="s">
        <v>53</v>
      </c>
    </row>
    <row r="9" spans="1:8" s="3" customFormat="1" ht="12.75" thickBot="1">
      <c r="A9" s="99" t="s">
        <v>252</v>
      </c>
      <c r="B9" s="110" t="s">
        <v>253</v>
      </c>
      <c r="C9" s="1212" t="s">
        <v>254</v>
      </c>
      <c r="D9" s="1213"/>
      <c r="E9" s="1213"/>
      <c r="F9" s="1214"/>
    </row>
    <row r="10" spans="1:8" s="3" customFormat="1" ht="12.75" thickBot="1">
      <c r="A10" s="111" t="s">
        <v>4</v>
      </c>
      <c r="B10" s="79" t="s">
        <v>296</v>
      </c>
      <c r="C10" s="43">
        <f>+C11+C25+C32+C44</f>
        <v>1593199</v>
      </c>
      <c r="D10" s="38">
        <f>+D11+D25+D32+D44</f>
        <v>1540255</v>
      </c>
      <c r="E10" s="39">
        <f>+E11+E25+E32+E44</f>
        <v>52944</v>
      </c>
      <c r="F10" s="40">
        <f>+F11+F25+F32+F44</f>
        <v>0</v>
      </c>
      <c r="G10" s="776">
        <f>+C10/$C$102</f>
        <v>0.34990953563382377</v>
      </c>
      <c r="H10" s="3">
        <f>+C10-D10-E10-F10</f>
        <v>0</v>
      </c>
    </row>
    <row r="11" spans="1:8" s="3" customFormat="1" ht="12.75" customHeight="1" thickBot="1">
      <c r="A11" s="99" t="s">
        <v>5</v>
      </c>
      <c r="B11" s="80" t="s">
        <v>297</v>
      </c>
      <c r="C11" s="44">
        <f>+C12+C19+C20+C21+C22+C23</f>
        <v>992226</v>
      </c>
      <c r="D11" s="33">
        <f>+D12+D19+D20+D21+D22+D23</f>
        <v>988986</v>
      </c>
      <c r="E11" s="34">
        <f>+E12+E19+E20+E21+E22+E23</f>
        <v>3240</v>
      </c>
      <c r="F11" s="35">
        <f>+F12+F19+F20+F21+F22+F23</f>
        <v>0</v>
      </c>
      <c r="G11" s="776">
        <f>+C11/$C$102</f>
        <v>0.21791963144830398</v>
      </c>
      <c r="H11" s="3">
        <f t="shared" ref="H11:H74" si="0">+C11-D11-E11-F11</f>
        <v>0</v>
      </c>
    </row>
    <row r="12" spans="1:8" s="3" customFormat="1">
      <c r="A12" s="100" t="s">
        <v>54</v>
      </c>
      <c r="B12" s="81" t="s">
        <v>298</v>
      </c>
      <c r="C12" s="36">
        <f>+C13+C14+C15+C16+C17+C18</f>
        <v>917056</v>
      </c>
      <c r="D12" s="19">
        <f>+D13+D14+D15+D16+D17+D18</f>
        <v>917056</v>
      </c>
      <c r="E12" s="10">
        <f>+E13+E14+E15+E16+E17+E18</f>
        <v>0</v>
      </c>
      <c r="F12" s="15">
        <f>+F13+F14+F15+F16+F17+F18</f>
        <v>0</v>
      </c>
      <c r="H12" s="4">
        <f t="shared" si="0"/>
        <v>0</v>
      </c>
    </row>
    <row r="13" spans="1:8" s="14" customFormat="1">
      <c r="A13" s="102" t="s">
        <v>189</v>
      </c>
      <c r="B13" s="82" t="s">
        <v>93</v>
      </c>
      <c r="C13" s="24">
        <f>+D13+E13+F13</f>
        <v>221585</v>
      </c>
      <c r="D13" s="20">
        <f>+'1.1.mell._ÖNK_Mérleg2020'!D13+'1.2.mell._HKÖH_Mérleg2020'!D13+'1.3.mell._HVÓBKI_Mérleg2020'!D13+'1.4.mell._HKK_Mérleg2020'!D13+'1.5._mell._MŐSZ_Mérleg2020'!D13+'1.6._mell._HVGYKCSSZ_Mérleg2020'!D13</f>
        <v>221585</v>
      </c>
      <c r="E13" s="13">
        <f>+'1.1.mell._ÖNK_Mérleg2020'!E13+'1.2.mell._HKÖH_Mérleg2020'!E13+'1.3.mell._HVÓBKI_Mérleg2020'!E13+'1.4.mell._HKK_Mérleg2020'!E13+'1.5._mell._MŐSZ_Mérleg2020'!E13+'1.6._mell._HVGYKCSSZ_Mérleg2020'!E13</f>
        <v>0</v>
      </c>
      <c r="F13" s="16">
        <f>+'1.1.mell._ÖNK_Mérleg2020'!F13+'1.2.mell._HKÖH_Mérleg2020'!F13+'1.3.mell._HVÓBKI_Mérleg2020'!F13+'1.4.mell._HKK_Mérleg2020'!F13+'1.5._mell._MŐSZ_Mérleg2020'!F13+'1.6._mell._HVGYKCSSZ_Mérleg2020'!F13</f>
        <v>0</v>
      </c>
      <c r="H13" s="14">
        <f t="shared" si="0"/>
        <v>0</v>
      </c>
    </row>
    <row r="14" spans="1:8" s="14" customFormat="1">
      <c r="A14" s="102" t="s">
        <v>190</v>
      </c>
      <c r="B14" s="82" t="s">
        <v>94</v>
      </c>
      <c r="C14" s="24">
        <f t="shared" ref="C14:C24" si="1">+D14+E14+F14</f>
        <v>238516</v>
      </c>
      <c r="D14" s="20">
        <f>+'1.1.mell._ÖNK_Mérleg2020'!D14+'1.2.mell._HKÖH_Mérleg2020'!D14+'1.3.mell._HVÓBKI_Mérleg2020'!D14+'1.4.mell._HKK_Mérleg2020'!D14+'1.5._mell._MŐSZ_Mérleg2020'!D14+'1.6._mell._HVGYKCSSZ_Mérleg2020'!D14</f>
        <v>238516</v>
      </c>
      <c r="E14" s="13">
        <f>+'1.1.mell._ÖNK_Mérleg2020'!E14+'1.2.mell._HKÖH_Mérleg2020'!E14+'1.3.mell._HVÓBKI_Mérleg2020'!E14+'1.4.mell._HKK_Mérleg2020'!E14+'1.5._mell._MŐSZ_Mérleg2020'!E14+'1.6._mell._HVGYKCSSZ_Mérleg2020'!E14</f>
        <v>0</v>
      </c>
      <c r="F14" s="16">
        <f>+'1.1.mell._ÖNK_Mérleg2020'!F14+'1.2.mell._HKÖH_Mérleg2020'!F14+'1.3.mell._HVÓBKI_Mérleg2020'!F14+'1.4.mell._HKK_Mérleg2020'!F14+'1.5._mell._MŐSZ_Mérleg2020'!F14+'1.6._mell._HVGYKCSSZ_Mérleg2020'!F14</f>
        <v>0</v>
      </c>
      <c r="H14" s="14">
        <f t="shared" si="0"/>
        <v>0</v>
      </c>
    </row>
    <row r="15" spans="1:8" s="14" customFormat="1">
      <c r="A15" s="102" t="s">
        <v>191</v>
      </c>
      <c r="B15" s="82" t="s">
        <v>95</v>
      </c>
      <c r="C15" s="24">
        <f t="shared" si="1"/>
        <v>287846</v>
      </c>
      <c r="D15" s="20">
        <f>+'1.1.mell._ÖNK_Mérleg2020'!D15+'1.2.mell._HKÖH_Mérleg2020'!D15+'1.3.mell._HVÓBKI_Mérleg2020'!D15+'1.4.mell._HKK_Mérleg2020'!D15+'1.5._mell._MŐSZ_Mérleg2020'!D15+'1.6._mell._HVGYKCSSZ_Mérleg2020'!D15</f>
        <v>287846</v>
      </c>
      <c r="E15" s="13">
        <f>+'1.1.mell._ÖNK_Mérleg2020'!E15+'1.2.mell._HKÖH_Mérleg2020'!E15+'1.3.mell._HVÓBKI_Mérleg2020'!E15+'1.4.mell._HKK_Mérleg2020'!E15+'1.5._mell._MŐSZ_Mérleg2020'!E15+'1.6._mell._HVGYKCSSZ_Mérleg2020'!E15</f>
        <v>0</v>
      </c>
      <c r="F15" s="16">
        <f>+'1.1.mell._ÖNK_Mérleg2020'!F15+'1.2.mell._HKÖH_Mérleg2020'!F15+'1.3.mell._HVÓBKI_Mérleg2020'!F15+'1.4.mell._HKK_Mérleg2020'!F15+'1.5._mell._MŐSZ_Mérleg2020'!F15+'1.6._mell._HVGYKCSSZ_Mérleg2020'!F15</f>
        <v>0</v>
      </c>
      <c r="H15" s="14">
        <f t="shared" si="0"/>
        <v>0</v>
      </c>
    </row>
    <row r="16" spans="1:8" s="14" customFormat="1">
      <c r="A16" s="102" t="s">
        <v>192</v>
      </c>
      <c r="B16" s="82" t="s">
        <v>96</v>
      </c>
      <c r="C16" s="24">
        <f t="shared" si="1"/>
        <v>13207</v>
      </c>
      <c r="D16" s="20">
        <f>+'1.1.mell._ÖNK_Mérleg2020'!D16+'1.2.mell._HKÖH_Mérleg2020'!D16+'1.3.mell._HVÓBKI_Mérleg2020'!D16+'1.4.mell._HKK_Mérleg2020'!D16+'1.5._mell._MŐSZ_Mérleg2020'!D16+'1.6._mell._HVGYKCSSZ_Mérleg2020'!D16</f>
        <v>13207</v>
      </c>
      <c r="E16" s="13">
        <f>+'1.1.mell._ÖNK_Mérleg2020'!E16+'1.2.mell._HKÖH_Mérleg2020'!E16+'1.3.mell._HVÓBKI_Mérleg2020'!E16+'1.4.mell._HKK_Mérleg2020'!E16+'1.5._mell._MŐSZ_Mérleg2020'!E16+'1.6._mell._HVGYKCSSZ_Mérleg2020'!E16</f>
        <v>0</v>
      </c>
      <c r="F16" s="16">
        <f>+'1.1.mell._ÖNK_Mérleg2020'!F16+'1.2.mell._HKÖH_Mérleg2020'!F16+'1.3.mell._HVÓBKI_Mérleg2020'!F16+'1.4.mell._HKK_Mérleg2020'!F16+'1.5._mell._MŐSZ_Mérleg2020'!F16+'1.6._mell._HVGYKCSSZ_Mérleg2020'!F16</f>
        <v>0</v>
      </c>
      <c r="H16" s="14">
        <f t="shared" si="0"/>
        <v>0</v>
      </c>
    </row>
    <row r="17" spans="1:8" s="140" customFormat="1">
      <c r="A17" s="102" t="s">
        <v>193</v>
      </c>
      <c r="B17" s="82" t="s">
        <v>895</v>
      </c>
      <c r="C17" s="134">
        <f t="shared" si="1"/>
        <v>155902</v>
      </c>
      <c r="D17" s="807">
        <f>+'1.1.mell._ÖNK_Mérleg2020'!D17+'1.2.mell._HKÖH_Mérleg2020'!D17+'1.3.mell._HVÓBKI_Mérleg2020'!D17+'1.4.mell._HKK_Mérleg2020'!D17+'1.5._mell._MŐSZ_Mérleg2020'!D17+'1.6._mell._HVGYKCSSZ_Mérleg2020'!D17</f>
        <v>155902</v>
      </c>
      <c r="E17" s="808">
        <f>+'1.1.mell._ÖNK_Mérleg2020'!E17+'1.2.mell._HKÖH_Mérleg2020'!E17+'1.3.mell._HVÓBKI_Mérleg2020'!E17+'1.4.mell._HKK_Mérleg2020'!E17+'1.5._mell._MŐSZ_Mérleg2020'!E17+'1.6._mell._HVGYKCSSZ_Mérleg2020'!E17</f>
        <v>0</v>
      </c>
      <c r="F17" s="809">
        <f>+'1.1.mell._ÖNK_Mérleg2020'!F17+'1.2.mell._HKÖH_Mérleg2020'!F17+'1.3.mell._HVÓBKI_Mérleg2020'!F17+'1.4.mell._HKK_Mérleg2020'!F17+'1.5._mell._MŐSZ_Mérleg2020'!F17+'1.6._mell._HVGYKCSSZ_Mérleg2020'!F17</f>
        <v>0</v>
      </c>
      <c r="G17" s="776">
        <f>+C17/$C$102</f>
        <v>3.4240290399620135E-2</v>
      </c>
      <c r="H17" s="14">
        <f t="shared" si="0"/>
        <v>0</v>
      </c>
    </row>
    <row r="18" spans="1:8" s="140" customFormat="1">
      <c r="A18" s="102" t="s">
        <v>194</v>
      </c>
      <c r="B18" s="82" t="s">
        <v>896</v>
      </c>
      <c r="C18" s="134">
        <f t="shared" si="1"/>
        <v>0</v>
      </c>
      <c r="D18" s="807">
        <f>+'1.1.mell._ÖNK_Mérleg2020'!D18+'1.2.mell._HKÖH_Mérleg2020'!D18+'1.3.mell._HVÓBKI_Mérleg2020'!D18+'1.4.mell._HKK_Mérleg2020'!D18+'1.5._mell._MŐSZ_Mérleg2020'!D18+'1.6._mell._HVGYKCSSZ_Mérleg2020'!D18</f>
        <v>0</v>
      </c>
      <c r="E18" s="808">
        <f>+'1.1.mell._ÖNK_Mérleg2020'!E18+'1.2.mell._HKÖH_Mérleg2020'!E18+'1.3.mell._HVÓBKI_Mérleg2020'!E18+'1.4.mell._HKK_Mérleg2020'!E18+'1.5._mell._MŐSZ_Mérleg2020'!E18+'1.6._mell._HVGYKCSSZ_Mérleg2020'!E18</f>
        <v>0</v>
      </c>
      <c r="F18" s="809">
        <f>+'1.1.mell._ÖNK_Mérleg2020'!F18+'1.2.mell._HKÖH_Mérleg2020'!F18+'1.3.mell._HVÓBKI_Mérleg2020'!F18+'1.4.mell._HKK_Mérleg2020'!F18+'1.5._mell._MŐSZ_Mérleg2020'!F18+'1.6._mell._HVGYKCSSZ_Mérleg2020'!F18</f>
        <v>0</v>
      </c>
      <c r="H18" s="14">
        <f t="shared" si="0"/>
        <v>0</v>
      </c>
    </row>
    <row r="19" spans="1:8">
      <c r="A19" s="101" t="s">
        <v>55</v>
      </c>
      <c r="B19" s="83" t="s">
        <v>97</v>
      </c>
      <c r="C19" s="23">
        <f t="shared" si="1"/>
        <v>8014</v>
      </c>
      <c r="D19" s="21">
        <f>+'1.1.mell._ÖNK_Mérleg2020'!D19+'1.2.mell._HKÖH_Mérleg2020'!D19+'1.3.mell._HVÓBKI_Mérleg2020'!D19+'1.4.mell._HKK_Mérleg2020'!D19+'1.5._mell._MŐSZ_Mérleg2020'!D19+'1.6._mell._HVGYKCSSZ_Mérleg2020'!D19</f>
        <v>8014</v>
      </c>
      <c r="E19" s="12">
        <f>+'1.1.mell._ÖNK_Mérleg2020'!E19+'1.2.mell._HKÖH_Mérleg2020'!E19+'1.3.mell._HVÓBKI_Mérleg2020'!E19+'1.4.mell._HKK_Mérleg2020'!E19+'1.5._mell._MŐSZ_Mérleg2020'!E19+'1.6._mell._HVGYKCSSZ_Mérleg2020'!E19</f>
        <v>0</v>
      </c>
      <c r="F19" s="17">
        <f>+'1.1.mell._ÖNK_Mérleg2020'!F19+'1.2.mell._HKÖH_Mérleg2020'!F19+'1.3.mell._HVÓBKI_Mérleg2020'!F19+'1.4.mell._HKK_Mérleg2020'!F19+'1.5._mell._MŐSZ_Mérleg2020'!F19+'1.6._mell._HVGYKCSSZ_Mérleg2020'!F19</f>
        <v>0</v>
      </c>
      <c r="H19" s="4">
        <f t="shared" si="0"/>
        <v>0</v>
      </c>
    </row>
    <row r="20" spans="1:8">
      <c r="A20" s="101" t="s">
        <v>83</v>
      </c>
      <c r="B20" s="83" t="s">
        <v>98</v>
      </c>
      <c r="C20" s="23">
        <f t="shared" si="1"/>
        <v>0</v>
      </c>
      <c r="D20" s="21">
        <f>+'1.1.mell._ÖNK_Mérleg2020'!D20+'1.2.mell._HKÖH_Mérleg2020'!D20+'1.3.mell._HVÓBKI_Mérleg2020'!D20+'1.4.mell._HKK_Mérleg2020'!D20+'1.5._mell._MŐSZ_Mérleg2020'!D20+'1.6._mell._HVGYKCSSZ_Mérleg2020'!D20</f>
        <v>0</v>
      </c>
      <c r="E20" s="12">
        <f>+'1.1.mell._ÖNK_Mérleg2020'!E20+'1.2.mell._HKÖH_Mérleg2020'!E20+'1.3.mell._HVÓBKI_Mérleg2020'!E20+'1.4.mell._HKK_Mérleg2020'!E20+'1.5._mell._MŐSZ_Mérleg2020'!E20+'1.6._mell._HVGYKCSSZ_Mérleg2020'!E20</f>
        <v>0</v>
      </c>
      <c r="F20" s="17">
        <f>+'1.1.mell._ÖNK_Mérleg2020'!F20+'1.2.mell._HKÖH_Mérleg2020'!F20+'1.3.mell._HVÓBKI_Mérleg2020'!F20+'1.4.mell._HKK_Mérleg2020'!F20+'1.5._mell._MŐSZ_Mérleg2020'!F20+'1.6._mell._HVGYKCSSZ_Mérleg2020'!F20</f>
        <v>0</v>
      </c>
      <c r="H20" s="4">
        <f t="shared" si="0"/>
        <v>0</v>
      </c>
    </row>
    <row r="21" spans="1:8">
      <c r="A21" s="101" t="s">
        <v>84</v>
      </c>
      <c r="B21" s="83" t="s">
        <v>99</v>
      </c>
      <c r="C21" s="23">
        <f t="shared" si="1"/>
        <v>0</v>
      </c>
      <c r="D21" s="21">
        <f>+'1.1.mell._ÖNK_Mérleg2020'!D21+'1.2.mell._HKÖH_Mérleg2020'!D21+'1.3.mell._HVÓBKI_Mérleg2020'!D21+'1.4.mell._HKK_Mérleg2020'!D21+'1.5._mell._MŐSZ_Mérleg2020'!D21+'1.6._mell._HVGYKCSSZ_Mérleg2020'!D21</f>
        <v>0</v>
      </c>
      <c r="E21" s="12">
        <f>+'1.1.mell._ÖNK_Mérleg2020'!E21+'1.2.mell._HKÖH_Mérleg2020'!E21+'1.3.mell._HVÓBKI_Mérleg2020'!E21+'1.4.mell._HKK_Mérleg2020'!E21+'1.5._mell._MŐSZ_Mérleg2020'!E21+'1.6._mell._HVGYKCSSZ_Mérleg2020'!E21</f>
        <v>0</v>
      </c>
      <c r="F21" s="17">
        <f>+'1.1.mell._ÖNK_Mérleg2020'!F21+'1.2.mell._HKÖH_Mérleg2020'!F21+'1.3.mell._HVÓBKI_Mérleg2020'!F21+'1.4.mell._HKK_Mérleg2020'!F21+'1.5._mell._MŐSZ_Mérleg2020'!F21+'1.6._mell._HVGYKCSSZ_Mérleg2020'!F21</f>
        <v>0</v>
      </c>
      <c r="H21" s="4">
        <f t="shared" si="0"/>
        <v>0</v>
      </c>
    </row>
    <row r="22" spans="1:8">
      <c r="A22" s="101" t="s">
        <v>85</v>
      </c>
      <c r="B22" s="83" t="s">
        <v>100</v>
      </c>
      <c r="C22" s="23">
        <f t="shared" si="1"/>
        <v>0</v>
      </c>
      <c r="D22" s="21">
        <f>+'1.1.mell._ÖNK_Mérleg2020'!D22+'1.2.mell._HKÖH_Mérleg2020'!D22+'1.3.mell._HVÓBKI_Mérleg2020'!D22+'1.4.mell._HKK_Mérleg2020'!D22+'1.5._mell._MŐSZ_Mérleg2020'!D22+'1.6._mell._HVGYKCSSZ_Mérleg2020'!D22</f>
        <v>0</v>
      </c>
      <c r="E22" s="12">
        <f>+'1.1.mell._ÖNK_Mérleg2020'!E22+'1.2.mell._HKÖH_Mérleg2020'!E22+'1.3.mell._HVÓBKI_Mérleg2020'!E22+'1.4.mell._HKK_Mérleg2020'!E22+'1.5._mell._MŐSZ_Mérleg2020'!E22+'1.6._mell._HVGYKCSSZ_Mérleg2020'!E22</f>
        <v>0</v>
      </c>
      <c r="F22" s="17">
        <f>+'1.1.mell._ÖNK_Mérleg2020'!F22+'1.2.mell._HKÖH_Mérleg2020'!F22+'1.3.mell._HVÓBKI_Mérleg2020'!F22+'1.4.mell._HKK_Mérleg2020'!F22+'1.5._mell._MŐSZ_Mérleg2020'!F22+'1.6._mell._HVGYKCSSZ_Mérleg2020'!F22</f>
        <v>0</v>
      </c>
      <c r="H22" s="4">
        <f t="shared" si="0"/>
        <v>0</v>
      </c>
    </row>
    <row r="23" spans="1:8">
      <c r="A23" s="94" t="s">
        <v>86</v>
      </c>
      <c r="B23" s="84" t="s">
        <v>101</v>
      </c>
      <c r="C23" s="26">
        <f t="shared" si="1"/>
        <v>67156</v>
      </c>
      <c r="D23" s="27">
        <f>+'1.1.mell._ÖNK_Mérleg2020'!D23+'1.2.mell._HKÖH_Mérleg2020'!D23+'1.3.mell._HVÓBKI_Mérleg2020'!D23+'1.4.mell._HKK_Mérleg2020'!D23+'1.5._mell._MŐSZ_Mérleg2020'!D23+'1.6._mell._HVGYKCSSZ_Mérleg2020'!D23</f>
        <v>63916</v>
      </c>
      <c r="E23" s="28">
        <f>+'1.1.mell._ÖNK_Mérleg2020'!E23+'1.2.mell._HKÖH_Mérleg2020'!E23+'1.3.mell._HVÓBKI_Mérleg2020'!E23+'1.4.mell._HKK_Mérleg2020'!E23+'1.5._mell._MŐSZ_Mérleg2020'!E23+'1.6._mell._HVGYKCSSZ_Mérleg2020'!E23</f>
        <v>3240</v>
      </c>
      <c r="F23" s="29">
        <f>+'1.1.mell._ÖNK_Mérleg2020'!F23+'1.2.mell._HKÖH_Mérleg2020'!F23+'1.3.mell._HVÓBKI_Mérleg2020'!F23+'1.4.mell._HKK_Mérleg2020'!F23+'1.5._mell._MŐSZ_Mérleg2020'!F23+'1.6._mell._HVGYKCSSZ_Mérleg2020'!F23</f>
        <v>0</v>
      </c>
      <c r="H23" s="4">
        <f t="shared" si="0"/>
        <v>0</v>
      </c>
    </row>
    <row r="24" spans="1:8" s="14" customFormat="1" ht="12.75" thickBot="1">
      <c r="A24" s="105" t="s">
        <v>331</v>
      </c>
      <c r="B24" s="894" t="s">
        <v>332</v>
      </c>
      <c r="C24" s="58">
        <f t="shared" si="1"/>
        <v>0</v>
      </c>
      <c r="D24" s="56">
        <f>+'1.1.mell._ÖNK_Mérleg2020'!D24+'1.2.mell._HKÖH_Mérleg2020'!D24+'1.3.mell._HVÓBKI_Mérleg2020'!D24+'1.4.mell._HKK_Mérleg2020'!D24+'1.5._mell._MŐSZ_Mérleg2020'!D24+'1.6._mell._HVGYKCSSZ_Mérleg2020'!D24</f>
        <v>0</v>
      </c>
      <c r="E24" s="54">
        <f>+'1.1.mell._ÖNK_Mérleg2020'!E24+'1.2.mell._HKÖH_Mérleg2020'!E24+'1.3.mell._HVÓBKI_Mérleg2020'!E24+'1.4.mell._HKK_Mérleg2020'!E24+'1.5._mell._MŐSZ_Mérleg2020'!E24+'1.6._mell._HVGYKCSSZ_Mérleg2020'!E24</f>
        <v>0</v>
      </c>
      <c r="F24" s="55">
        <f>+'1.1.mell._ÖNK_Mérleg2020'!F24+'1.2.mell._HKÖH_Mérleg2020'!F24+'1.3.mell._HVÓBKI_Mérleg2020'!F24+'1.4.mell._HKK_Mérleg2020'!F24+'1.5._mell._MŐSZ_Mérleg2020'!F24+'1.6._mell._HVGYKCSSZ_Mérleg2020'!F24</f>
        <v>0</v>
      </c>
      <c r="H24" s="14">
        <f t="shared" si="0"/>
        <v>0</v>
      </c>
    </row>
    <row r="25" spans="1:8" s="3" customFormat="1" ht="12.75" customHeight="1" thickBot="1">
      <c r="A25" s="99" t="s">
        <v>6</v>
      </c>
      <c r="B25" s="80" t="s">
        <v>778</v>
      </c>
      <c r="C25" s="44">
        <f>+C26+C27+C28+C29+C30+C31</f>
        <v>414105</v>
      </c>
      <c r="D25" s="33">
        <f>+D26+D27+D28+D29+D30+D31</f>
        <v>396552</v>
      </c>
      <c r="E25" s="34">
        <f>+E26+E27+E28+E29+E30+E31</f>
        <v>17553</v>
      </c>
      <c r="F25" s="35">
        <f>+F26+F27+F28+F29+F30+F31</f>
        <v>0</v>
      </c>
      <c r="G25" s="776">
        <f>+C25/$C$102</f>
        <v>9.0948643737313789E-2</v>
      </c>
      <c r="H25" s="3">
        <f t="shared" si="0"/>
        <v>0</v>
      </c>
    </row>
    <row r="26" spans="1:8" ht="12.75" customHeight="1">
      <c r="A26" s="100" t="s">
        <v>58</v>
      </c>
      <c r="B26" s="81" t="s">
        <v>102</v>
      </c>
      <c r="C26" s="36">
        <f t="shared" ref="C26:C31" si="2">+D26+E26+F26</f>
        <v>50</v>
      </c>
      <c r="D26" s="41">
        <f>+'1.1.mell._ÖNK_Mérleg2020'!D26+'1.2.mell._HKÖH_Mérleg2020'!D26+'1.3.mell._HVÓBKI_Mérleg2020'!D26+'1.4.mell._HKK_Mérleg2020'!D26+'1.5._mell._MŐSZ_Mérleg2020'!D26+'1.6._mell._HVGYKCSSZ_Mérleg2020'!D26</f>
        <v>50</v>
      </c>
      <c r="E26" s="11">
        <f>+'1.1.mell._ÖNK_Mérleg2020'!E26+'1.2.mell._HKÖH_Mérleg2020'!E26+'1.3.mell._HVÓBKI_Mérleg2020'!E26+'1.4.mell._HKK_Mérleg2020'!E26+'1.5._mell._MŐSZ_Mérleg2020'!E26+'1.6._mell._HVGYKCSSZ_Mérleg2020'!E26</f>
        <v>0</v>
      </c>
      <c r="F26" s="42">
        <f>+'1.1.mell._ÖNK_Mérleg2020'!F26+'1.2.mell._HKÖH_Mérleg2020'!F26+'1.3.mell._HVÓBKI_Mérleg2020'!F26+'1.4.mell._HKK_Mérleg2020'!F26+'1.5._mell._MŐSZ_Mérleg2020'!F26+'1.6._mell._HVGYKCSSZ_Mérleg2020'!F26</f>
        <v>0</v>
      </c>
      <c r="H26" s="4">
        <f t="shared" si="0"/>
        <v>0</v>
      </c>
    </row>
    <row r="27" spans="1:8" ht="12.75" customHeight="1">
      <c r="A27" s="101" t="s">
        <v>59</v>
      </c>
      <c r="B27" s="83" t="s">
        <v>103</v>
      </c>
      <c r="C27" s="23">
        <f t="shared" si="2"/>
        <v>0</v>
      </c>
      <c r="D27" s="21">
        <f>+'1.1.mell._ÖNK_Mérleg2020'!D27+'1.2.mell._HKÖH_Mérleg2020'!D27+'1.3.mell._HVÓBKI_Mérleg2020'!D27+'1.4.mell._HKK_Mérleg2020'!D27+'1.5._mell._MŐSZ_Mérleg2020'!D27+'1.6._mell._HVGYKCSSZ_Mérleg2020'!D27</f>
        <v>0</v>
      </c>
      <c r="E27" s="12">
        <f>+'1.1.mell._ÖNK_Mérleg2020'!E27+'1.2.mell._HKÖH_Mérleg2020'!E27+'1.3.mell._HVÓBKI_Mérleg2020'!E27+'1.4.mell._HKK_Mérleg2020'!E27+'1.5._mell._MŐSZ_Mérleg2020'!E27+'1.6._mell._HVGYKCSSZ_Mérleg2020'!E27</f>
        <v>0</v>
      </c>
      <c r="F27" s="17">
        <f>+'1.1.mell._ÖNK_Mérleg2020'!F27+'1.2.mell._HKÖH_Mérleg2020'!F27+'1.3.mell._HVÓBKI_Mérleg2020'!F27+'1.4.mell._HKK_Mérleg2020'!F27+'1.5._mell._MŐSZ_Mérleg2020'!F27+'1.6._mell._HVGYKCSSZ_Mérleg2020'!F27</f>
        <v>0</v>
      </c>
      <c r="H27" s="4">
        <f t="shared" si="0"/>
        <v>0</v>
      </c>
    </row>
    <row r="28" spans="1:8" ht="12.75" customHeight="1">
      <c r="A28" s="101" t="s">
        <v>60</v>
      </c>
      <c r="B28" s="83" t="s">
        <v>104</v>
      </c>
      <c r="C28" s="23">
        <f t="shared" si="2"/>
        <v>0</v>
      </c>
      <c r="D28" s="21">
        <f>+'1.1.mell._ÖNK_Mérleg2020'!D28+'1.2.mell._HKÖH_Mérleg2020'!D28+'1.3.mell._HVÓBKI_Mérleg2020'!D28+'1.4.mell._HKK_Mérleg2020'!D28+'1.5._mell._MŐSZ_Mérleg2020'!D28+'1.6._mell._HVGYKCSSZ_Mérleg2020'!D28</f>
        <v>0</v>
      </c>
      <c r="E28" s="12">
        <f>+'1.1.mell._ÖNK_Mérleg2020'!E28+'1.2.mell._HKÖH_Mérleg2020'!E28+'1.3.mell._HVÓBKI_Mérleg2020'!E28+'1.4.mell._HKK_Mérleg2020'!E28+'1.5._mell._MŐSZ_Mérleg2020'!E28+'1.6._mell._HVGYKCSSZ_Mérleg2020'!E28</f>
        <v>0</v>
      </c>
      <c r="F28" s="17">
        <f>+'1.1.mell._ÖNK_Mérleg2020'!F28+'1.2.mell._HKÖH_Mérleg2020'!F28+'1.3.mell._HVÓBKI_Mérleg2020'!F28+'1.4.mell._HKK_Mérleg2020'!F28+'1.5._mell._MŐSZ_Mérleg2020'!F28+'1.6._mell._HVGYKCSSZ_Mérleg2020'!F28</f>
        <v>0</v>
      </c>
      <c r="H28" s="4">
        <f t="shared" si="0"/>
        <v>0</v>
      </c>
    </row>
    <row r="29" spans="1:8" ht="12.75" customHeight="1">
      <c r="A29" s="101" t="s">
        <v>179</v>
      </c>
      <c r="B29" s="83" t="s">
        <v>105</v>
      </c>
      <c r="C29" s="23">
        <f t="shared" si="2"/>
        <v>66952</v>
      </c>
      <c r="D29" s="21">
        <f>+'1.1.mell._ÖNK_Mérleg2020'!D29+'1.2.mell._HKÖH_Mérleg2020'!D29+'1.3.mell._HVÓBKI_Mérleg2020'!D29+'1.4.mell._HKK_Mérleg2020'!D29+'1.5._mell._MŐSZ_Mérleg2020'!D29+'1.6._mell._HVGYKCSSZ_Mérleg2020'!D29</f>
        <v>66952</v>
      </c>
      <c r="E29" s="12">
        <f>+'1.1.mell._ÖNK_Mérleg2020'!E29+'1.2.mell._HKÖH_Mérleg2020'!E29+'1.3.mell._HVÓBKI_Mérleg2020'!E29+'1.4.mell._HKK_Mérleg2020'!E29+'1.5._mell._MŐSZ_Mérleg2020'!E29+'1.6._mell._HVGYKCSSZ_Mérleg2020'!E29</f>
        <v>0</v>
      </c>
      <c r="F29" s="17">
        <f>+'1.1.mell._ÖNK_Mérleg2020'!F29+'1.2.mell._HKÖH_Mérleg2020'!F29+'1.3.mell._HVÓBKI_Mérleg2020'!F29+'1.4.mell._HKK_Mérleg2020'!F29+'1.5._mell._MŐSZ_Mérleg2020'!F29+'1.6._mell._HVGYKCSSZ_Mérleg2020'!F29</f>
        <v>0</v>
      </c>
      <c r="H29" s="4">
        <f t="shared" si="0"/>
        <v>0</v>
      </c>
    </row>
    <row r="30" spans="1:8" ht="12.75" customHeight="1">
      <c r="A30" s="94" t="s">
        <v>180</v>
      </c>
      <c r="B30" s="84" t="s">
        <v>106</v>
      </c>
      <c r="C30" s="26">
        <f t="shared" si="2"/>
        <v>328350</v>
      </c>
      <c r="D30" s="21">
        <f>+'1.1.mell._ÖNK_Mérleg2020'!D30+'1.2.mell._HKÖH_Mérleg2020'!D30+'1.3.mell._HVÓBKI_Mérleg2020'!D30+'1.4.mell._HKK_Mérleg2020'!D30+'1.5._mell._MŐSZ_Mérleg2020'!D30+'1.6._mell._HVGYKCSSZ_Mérleg2020'!D30</f>
        <v>328350</v>
      </c>
      <c r="E30" s="12">
        <f>+'1.1.mell._ÖNK_Mérleg2020'!E30+'1.2.mell._HKÖH_Mérleg2020'!E30+'1.3.mell._HVÓBKI_Mérleg2020'!E30+'1.4.mell._HKK_Mérleg2020'!E30+'1.5._mell._MŐSZ_Mérleg2020'!E30+'1.6._mell._HVGYKCSSZ_Mérleg2020'!E30</f>
        <v>0</v>
      </c>
      <c r="F30" s="17">
        <f>+'1.1.mell._ÖNK_Mérleg2020'!F30+'1.2.mell._HKÖH_Mérleg2020'!F30+'1.3.mell._HVÓBKI_Mérleg2020'!F30+'1.4.mell._HKK_Mérleg2020'!F30+'1.5._mell._MŐSZ_Mérleg2020'!F30+'1.6._mell._HVGYKCSSZ_Mérleg2020'!F30</f>
        <v>0</v>
      </c>
      <c r="H30" s="4">
        <f t="shared" si="0"/>
        <v>0</v>
      </c>
    </row>
    <row r="31" spans="1:8" ht="12.75" customHeight="1" thickBot="1">
      <c r="A31" s="94" t="s">
        <v>777</v>
      </c>
      <c r="B31" s="84" t="s">
        <v>779</v>
      </c>
      <c r="C31" s="26">
        <f t="shared" si="2"/>
        <v>18753</v>
      </c>
      <c r="D31" s="21">
        <f>+'1.1.mell._ÖNK_Mérleg2020'!D31+'1.2.mell._HKÖH_Mérleg2020'!D31+'1.3.mell._HVÓBKI_Mérleg2020'!D31+'1.4.mell._HKK_Mérleg2020'!D31+'1.5._mell._MŐSZ_Mérleg2020'!D31+'1.6._mell._HVGYKCSSZ_Mérleg2020'!D31</f>
        <v>1200</v>
      </c>
      <c r="E31" s="12">
        <f>+'1.1.mell._ÖNK_Mérleg2020'!E31+'1.2.mell._HKÖH_Mérleg2020'!E31+'1.3.mell._HVÓBKI_Mérleg2020'!E31+'1.4.mell._HKK_Mérleg2020'!E31+'1.5._mell._MŐSZ_Mérleg2020'!E31+'1.6._mell._HVGYKCSSZ_Mérleg2020'!E31</f>
        <v>17553</v>
      </c>
      <c r="F31" s="17">
        <f>+'1.1.mell._ÖNK_Mérleg2020'!F31+'1.2.mell._HKÖH_Mérleg2020'!F31+'1.3.mell._HVÓBKI_Mérleg2020'!F31+'1.4.mell._HKK_Mérleg2020'!F31+'1.5._mell._MŐSZ_Mérleg2020'!F31+'1.6._mell._HVGYKCSSZ_Mérleg2020'!F31</f>
        <v>0</v>
      </c>
      <c r="H31" s="4">
        <f t="shared" si="0"/>
        <v>0</v>
      </c>
    </row>
    <row r="32" spans="1:8" s="3" customFormat="1" ht="12.75" customHeight="1" thickBot="1">
      <c r="A32" s="99" t="s">
        <v>3</v>
      </c>
      <c r="B32" s="80" t="s">
        <v>968</v>
      </c>
      <c r="C32" s="44">
        <f>+C33+C34+C35+C36+C37+C38+C39+C40+C41+C42+C43</f>
        <v>186868</v>
      </c>
      <c r="D32" s="33">
        <f>+D33+D34+D35+D36+D37+D38+D39+D40+D41+D42+D43</f>
        <v>154717</v>
      </c>
      <c r="E32" s="34">
        <f>+E33+E34+E35+E36+E37+E38+E39+E40+E41+E42+E43</f>
        <v>32151</v>
      </c>
      <c r="F32" s="35">
        <f>+F33+F34+F35+F36+F37+F38+F39+F40+F41+F42+F43</f>
        <v>0</v>
      </c>
      <c r="G32" s="776">
        <f>+C32/$C$102</f>
        <v>4.1041260448206024E-2</v>
      </c>
      <c r="H32" s="3">
        <f t="shared" si="0"/>
        <v>0</v>
      </c>
    </row>
    <row r="33" spans="1:8" ht="12.75" customHeight="1">
      <c r="A33" s="100" t="s">
        <v>61</v>
      </c>
      <c r="B33" s="81" t="s">
        <v>1585</v>
      </c>
      <c r="C33" s="36">
        <f t="shared" ref="C33:C43" si="3">+D33+E33+F33</f>
        <v>8000</v>
      </c>
      <c r="D33" s="41">
        <f>+'1.1.mell._ÖNK_Mérleg2020'!D33+'1.2.mell._HKÖH_Mérleg2020'!D33+'1.3.mell._HVÓBKI_Mérleg2020'!D33+'1.4.mell._HKK_Mérleg2020'!D33+'1.5._mell._MŐSZ_Mérleg2020'!D33+'1.6._mell._HVGYKCSSZ_Mérleg2020'!D33</f>
        <v>8000</v>
      </c>
      <c r="E33" s="11">
        <f>+'1.1.mell._ÖNK_Mérleg2020'!E33+'1.2.mell._HKÖH_Mérleg2020'!E33+'1.3.mell._HVÓBKI_Mérleg2020'!E33+'1.4.mell._HKK_Mérleg2020'!E33+'1.5._mell._MŐSZ_Mérleg2020'!E33+'1.6._mell._HVGYKCSSZ_Mérleg2020'!E33</f>
        <v>0</v>
      </c>
      <c r="F33" s="42">
        <f>+'1.1.mell._ÖNK_Mérleg2020'!F33+'1.2.mell._HKÖH_Mérleg2020'!F33+'1.3.mell._HVÓBKI_Mérleg2020'!F33+'1.4.mell._HKK_Mérleg2020'!F33+'1.5._mell._MŐSZ_Mérleg2020'!F33+'1.6._mell._HVGYKCSSZ_Mérleg2020'!F33</f>
        <v>0</v>
      </c>
      <c r="H33" s="4">
        <f t="shared" si="0"/>
        <v>0</v>
      </c>
    </row>
    <row r="34" spans="1:8" ht="12.75" customHeight="1">
      <c r="A34" s="101" t="s">
        <v>62</v>
      </c>
      <c r="B34" s="83" t="s">
        <v>107</v>
      </c>
      <c r="C34" s="23">
        <f t="shared" si="3"/>
        <v>65858</v>
      </c>
      <c r="D34" s="21">
        <f>+'1.1.mell._ÖNK_Mérleg2020'!D34+'1.2.mell._HKÖH_Mérleg2020'!D34+'1.3.mell._HVÓBKI_Mérleg2020'!D34+'1.4.mell._HKK_Mérleg2020'!D34+'1.5._mell._MŐSZ_Mérleg2020'!D34+'1.6._mell._HVGYKCSSZ_Mérleg2020'!D34</f>
        <v>40532</v>
      </c>
      <c r="E34" s="12">
        <f>+'1.1.mell._ÖNK_Mérleg2020'!E34+'1.2.mell._HKÖH_Mérleg2020'!E34+'1.3.mell._HVÓBKI_Mérleg2020'!E34+'1.4.mell._HKK_Mérleg2020'!E34+'1.5._mell._MŐSZ_Mérleg2020'!E34+'1.6._mell._HVGYKCSSZ_Mérleg2020'!E34</f>
        <v>25326</v>
      </c>
      <c r="F34" s="17">
        <f>+'1.1.mell._ÖNK_Mérleg2020'!F34+'1.2.mell._HKÖH_Mérleg2020'!F34+'1.3.mell._HVÓBKI_Mérleg2020'!F34+'1.4.mell._HKK_Mérleg2020'!F34+'1.5._mell._MŐSZ_Mérleg2020'!F34+'1.6._mell._HVGYKCSSZ_Mérleg2020'!F34</f>
        <v>0</v>
      </c>
      <c r="H34" s="4">
        <f t="shared" si="0"/>
        <v>0</v>
      </c>
    </row>
    <row r="35" spans="1:8" ht="12.75" customHeight="1">
      <c r="A35" s="101" t="s">
        <v>63</v>
      </c>
      <c r="B35" s="83" t="s">
        <v>108</v>
      </c>
      <c r="C35" s="23">
        <f t="shared" si="3"/>
        <v>8541</v>
      </c>
      <c r="D35" s="21">
        <f>+'1.1.mell._ÖNK_Mérleg2020'!D35+'1.2.mell._HKÖH_Mérleg2020'!D35+'1.3.mell._HVÓBKI_Mérleg2020'!D35+'1.4.mell._HKK_Mérleg2020'!D35+'1.5._mell._MŐSZ_Mérleg2020'!D35+'1.6._mell._HVGYKCSSZ_Mérleg2020'!D35</f>
        <v>8541</v>
      </c>
      <c r="E35" s="12">
        <f>+'1.1.mell._ÖNK_Mérleg2020'!E35+'1.2.mell._HKÖH_Mérleg2020'!E35+'1.3.mell._HVÓBKI_Mérleg2020'!E35+'1.4.mell._HKK_Mérleg2020'!E35+'1.5._mell._MŐSZ_Mérleg2020'!E35+'1.6._mell._HVGYKCSSZ_Mérleg2020'!E35</f>
        <v>0</v>
      </c>
      <c r="F35" s="17">
        <f>+'1.1.mell._ÖNK_Mérleg2020'!F35+'1.2.mell._HKÖH_Mérleg2020'!F35+'1.3.mell._HVÓBKI_Mérleg2020'!F35+'1.4.mell._HKK_Mérleg2020'!F35+'1.5._mell._MŐSZ_Mérleg2020'!F35+'1.6._mell._HVGYKCSSZ_Mérleg2020'!F35</f>
        <v>0</v>
      </c>
      <c r="H35" s="4">
        <f t="shared" si="0"/>
        <v>0</v>
      </c>
    </row>
    <row r="36" spans="1:8" ht="12.75" customHeight="1">
      <c r="A36" s="101" t="s">
        <v>64</v>
      </c>
      <c r="B36" s="83" t="s">
        <v>109</v>
      </c>
      <c r="C36" s="23">
        <f t="shared" si="3"/>
        <v>236</v>
      </c>
      <c r="D36" s="21">
        <f>+'1.1.mell._ÖNK_Mérleg2020'!D36+'1.2.mell._HKÖH_Mérleg2020'!D36+'1.3.mell._HVÓBKI_Mérleg2020'!D36+'1.4.mell._HKK_Mérleg2020'!D36+'1.5._mell._MŐSZ_Mérleg2020'!D36+'1.6._mell._HVGYKCSSZ_Mérleg2020'!D36</f>
        <v>236</v>
      </c>
      <c r="E36" s="12">
        <f>+'1.1.mell._ÖNK_Mérleg2020'!E36+'1.2.mell._HKÖH_Mérleg2020'!E36+'1.3.mell._HVÓBKI_Mérleg2020'!E36+'1.4.mell._HKK_Mérleg2020'!E36+'1.5._mell._MŐSZ_Mérleg2020'!E36+'1.6._mell._HVGYKCSSZ_Mérleg2020'!E36</f>
        <v>0</v>
      </c>
      <c r="F36" s="17">
        <f>+'1.1.mell._ÖNK_Mérleg2020'!F36+'1.2.mell._HKÖH_Mérleg2020'!F36+'1.3.mell._HVÓBKI_Mérleg2020'!F36+'1.4.mell._HKK_Mérleg2020'!F36+'1.5._mell._MŐSZ_Mérleg2020'!F36+'1.6._mell._HVGYKCSSZ_Mérleg2020'!F36</f>
        <v>0</v>
      </c>
      <c r="H36" s="4">
        <f t="shared" si="0"/>
        <v>0</v>
      </c>
    </row>
    <row r="37" spans="1:8" ht="12.75" customHeight="1">
      <c r="A37" s="101" t="s">
        <v>65</v>
      </c>
      <c r="B37" s="83" t="s">
        <v>110</v>
      </c>
      <c r="C37" s="23">
        <f t="shared" si="3"/>
        <v>9645</v>
      </c>
      <c r="D37" s="21">
        <f>+'1.1.mell._ÖNK_Mérleg2020'!D37+'1.2.mell._HKÖH_Mérleg2020'!D37+'1.3.mell._HVÓBKI_Mérleg2020'!D37+'1.4.mell._HKK_Mérleg2020'!D37+'1.5._mell._MŐSZ_Mérleg2020'!D37+'1.6._mell._HVGYKCSSZ_Mérleg2020'!D37</f>
        <v>9645</v>
      </c>
      <c r="E37" s="12">
        <f>+'1.1.mell._ÖNK_Mérleg2020'!E37+'1.2.mell._HKÖH_Mérleg2020'!E37+'1.3.mell._HVÓBKI_Mérleg2020'!E37+'1.4.mell._HKK_Mérleg2020'!E37+'1.5._mell._MŐSZ_Mérleg2020'!E37+'1.6._mell._HVGYKCSSZ_Mérleg2020'!E37</f>
        <v>0</v>
      </c>
      <c r="F37" s="17">
        <f>+'1.1.mell._ÖNK_Mérleg2020'!F37+'1.2.mell._HKÖH_Mérleg2020'!F37+'1.3.mell._HVÓBKI_Mérleg2020'!F37+'1.4.mell._HKK_Mérleg2020'!F37+'1.5._mell._MŐSZ_Mérleg2020'!F37+'1.6._mell._HVGYKCSSZ_Mérleg2020'!F37</f>
        <v>0</v>
      </c>
      <c r="H37" s="4">
        <f t="shared" si="0"/>
        <v>0</v>
      </c>
    </row>
    <row r="38" spans="1:8" ht="12.75" customHeight="1">
      <c r="A38" s="101" t="s">
        <v>221</v>
      </c>
      <c r="B38" s="83" t="s">
        <v>111</v>
      </c>
      <c r="C38" s="23">
        <f>+D38+E38+F38</f>
        <v>22311</v>
      </c>
      <c r="D38" s="21">
        <f>+'1.1.mell._ÖNK_Mérleg2020'!D38+'1.2.mell._HKÖH_Mérleg2020'!D38+'1.3.mell._HVÓBKI_Mérleg2020'!D38+'1.4.mell._HKK_Mérleg2020'!D38+'1.5._mell._MŐSZ_Mérleg2020'!D38+'1.6._mell._HVGYKCSSZ_Mérleg2020'!D38</f>
        <v>15486</v>
      </c>
      <c r="E38" s="12">
        <f>+'1.1.mell._ÖNK_Mérleg2020'!E38+'1.2.mell._HKÖH_Mérleg2020'!E38+'1.3.mell._HVÓBKI_Mérleg2020'!E38+'1.4.mell._HKK_Mérleg2020'!E38+'1.5._mell._MŐSZ_Mérleg2020'!E38+'1.6._mell._HVGYKCSSZ_Mérleg2020'!E38</f>
        <v>6825</v>
      </c>
      <c r="F38" s="17">
        <f>+'1.1.mell._ÖNK_Mérleg2020'!F38+'1.2.mell._HKÖH_Mérleg2020'!F38+'1.3.mell._HVÓBKI_Mérleg2020'!F38+'1.4.mell._HKK_Mérleg2020'!F38+'1.5._mell._MŐSZ_Mérleg2020'!F38+'1.6._mell._HVGYKCSSZ_Mérleg2020'!F38</f>
        <v>0</v>
      </c>
      <c r="H38" s="4">
        <f t="shared" si="0"/>
        <v>0</v>
      </c>
    </row>
    <row r="39" spans="1:8" ht="12.75" customHeight="1">
      <c r="A39" s="101" t="s">
        <v>222</v>
      </c>
      <c r="B39" s="83" t="s">
        <v>112</v>
      </c>
      <c r="C39" s="23">
        <f t="shared" si="3"/>
        <v>10634</v>
      </c>
      <c r="D39" s="21">
        <f>+'1.1.mell._ÖNK_Mérleg2020'!D39+'1.2.mell._HKÖH_Mérleg2020'!D39+'1.3.mell._HVÓBKI_Mérleg2020'!D39+'1.4.mell._HKK_Mérleg2020'!D39+'1.5._mell._MŐSZ_Mérleg2020'!D39+'1.6._mell._HVGYKCSSZ_Mérleg2020'!D39</f>
        <v>10634</v>
      </c>
      <c r="E39" s="12">
        <f>+'1.1.mell._ÖNK_Mérleg2020'!E39+'1.2.mell._HKÖH_Mérleg2020'!E39+'1.3.mell._HVÓBKI_Mérleg2020'!E39+'1.4.mell._HKK_Mérleg2020'!E39+'1.5._mell._MŐSZ_Mérleg2020'!E39+'1.6._mell._HVGYKCSSZ_Mérleg2020'!E39</f>
        <v>0</v>
      </c>
      <c r="F39" s="17">
        <f>+'1.1.mell._ÖNK_Mérleg2020'!F39+'1.2.mell._HKÖH_Mérleg2020'!F39+'1.3.mell._HVÓBKI_Mérleg2020'!F39+'1.4.mell._HKK_Mérleg2020'!F39+'1.5._mell._MŐSZ_Mérleg2020'!F39+'1.6._mell._HVGYKCSSZ_Mérleg2020'!F39</f>
        <v>0</v>
      </c>
      <c r="H39" s="4">
        <f t="shared" si="0"/>
        <v>0</v>
      </c>
    </row>
    <row r="40" spans="1:8" ht="12.75" customHeight="1">
      <c r="A40" s="101" t="s">
        <v>223</v>
      </c>
      <c r="B40" s="83" t="s">
        <v>978</v>
      </c>
      <c r="C40" s="23">
        <f t="shared" si="3"/>
        <v>0</v>
      </c>
      <c r="D40" s="21">
        <f>+'1.1.mell._ÖNK_Mérleg2020'!D40+'1.2.mell._HKÖH_Mérleg2020'!D40+'1.3.mell._HVÓBKI_Mérleg2020'!D40+'1.4.mell._HKK_Mérleg2020'!D40+'1.5._mell._MŐSZ_Mérleg2020'!D40+'1.6._mell._HVGYKCSSZ_Mérleg2020'!D40</f>
        <v>0</v>
      </c>
      <c r="E40" s="12">
        <f>+'1.1.mell._ÖNK_Mérleg2020'!E40+'1.2.mell._HKÖH_Mérleg2020'!E40+'1.3.mell._HVÓBKI_Mérleg2020'!E40+'1.4.mell._HKK_Mérleg2020'!E40+'1.5._mell._MŐSZ_Mérleg2020'!E40+'1.6._mell._HVGYKCSSZ_Mérleg2020'!E40</f>
        <v>0</v>
      </c>
      <c r="F40" s="17">
        <f>+'1.1.mell._ÖNK_Mérleg2020'!F40+'1.2.mell._HKÖH_Mérleg2020'!F40+'1.3.mell._HVÓBKI_Mérleg2020'!F40+'1.4.mell._HKK_Mérleg2020'!F40+'1.5._mell._MŐSZ_Mérleg2020'!F40+'1.6._mell._HVGYKCSSZ_Mérleg2020'!F40</f>
        <v>0</v>
      </c>
      <c r="H40" s="4">
        <f t="shared" si="0"/>
        <v>0</v>
      </c>
    </row>
    <row r="41" spans="1:8" ht="12.75" customHeight="1">
      <c r="A41" s="101" t="s">
        <v>224</v>
      </c>
      <c r="B41" s="83" t="s">
        <v>113</v>
      </c>
      <c r="C41" s="23">
        <f t="shared" si="3"/>
        <v>0</v>
      </c>
      <c r="D41" s="21">
        <f>+'1.1.mell._ÖNK_Mérleg2020'!D41+'1.2.mell._HKÖH_Mérleg2020'!D41+'1.3.mell._HVÓBKI_Mérleg2020'!D41+'1.4.mell._HKK_Mérleg2020'!D41+'1.5._mell._MŐSZ_Mérleg2020'!D41+'1.6._mell._HVGYKCSSZ_Mérleg2020'!D41</f>
        <v>0</v>
      </c>
      <c r="E41" s="12">
        <f>+'1.1.mell._ÖNK_Mérleg2020'!E41+'1.2.mell._HKÖH_Mérleg2020'!E41+'1.3.mell._HVÓBKI_Mérleg2020'!E41+'1.4.mell._HKK_Mérleg2020'!E41+'1.5._mell._MŐSZ_Mérleg2020'!E41+'1.6._mell._HVGYKCSSZ_Mérleg2020'!E41</f>
        <v>0</v>
      </c>
      <c r="F41" s="17">
        <f>+'1.1.mell._ÖNK_Mérleg2020'!F41+'1.2.mell._HKÖH_Mérleg2020'!F41+'1.3.mell._HVÓBKI_Mérleg2020'!F41+'1.4.mell._HKK_Mérleg2020'!F41+'1.5._mell._MŐSZ_Mérleg2020'!F41+'1.6._mell._HVGYKCSSZ_Mérleg2020'!F41</f>
        <v>0</v>
      </c>
      <c r="H41" s="4">
        <f t="shared" si="0"/>
        <v>0</v>
      </c>
    </row>
    <row r="42" spans="1:8" ht="12.75" customHeight="1">
      <c r="A42" s="94" t="s">
        <v>225</v>
      </c>
      <c r="B42" s="84" t="s">
        <v>898</v>
      </c>
      <c r="C42" s="23">
        <f>+D42+E42+F42</f>
        <v>0</v>
      </c>
      <c r="D42" s="21">
        <f>+'1.1.mell._ÖNK_Mérleg2020'!D42+'1.2.mell._HKÖH_Mérleg2020'!D42+'1.3.mell._HVÓBKI_Mérleg2020'!D42+'1.4.mell._HKK_Mérleg2020'!D42+'1.5._mell._MŐSZ_Mérleg2020'!D42+'1.6._mell._HVGYKCSSZ_Mérleg2020'!D42</f>
        <v>0</v>
      </c>
      <c r="E42" s="12">
        <f>+'1.1.mell._ÖNK_Mérleg2020'!E42+'1.2.mell._HKÖH_Mérleg2020'!E42+'1.3.mell._HVÓBKI_Mérleg2020'!E42+'1.4.mell._HKK_Mérleg2020'!E42+'1.5._mell._MŐSZ_Mérleg2020'!E42+'1.6._mell._HVGYKCSSZ_Mérleg2020'!E42</f>
        <v>0</v>
      </c>
      <c r="F42" s="17">
        <f>+'1.1.mell._ÖNK_Mérleg2020'!F42+'1.2.mell._HKÖH_Mérleg2020'!F42+'1.3.mell._HVÓBKI_Mérleg2020'!F42+'1.4.mell._HKK_Mérleg2020'!F42+'1.5._mell._MŐSZ_Mérleg2020'!F42+'1.6._mell._HVGYKCSSZ_Mérleg2020'!F42</f>
        <v>0</v>
      </c>
      <c r="H42" s="4">
        <f t="shared" si="0"/>
        <v>0</v>
      </c>
    </row>
    <row r="43" spans="1:8" ht="12.75" customHeight="1" thickBot="1">
      <c r="A43" s="94" t="s">
        <v>897</v>
      </c>
      <c r="B43" s="84" t="s">
        <v>899</v>
      </c>
      <c r="C43" s="26">
        <f t="shared" si="3"/>
        <v>61643</v>
      </c>
      <c r="D43" s="27">
        <f>+'1.1.mell._ÖNK_Mérleg2020'!D43+'1.2.mell._HKÖH_Mérleg2020'!D43+'1.3.mell._HVÓBKI_Mérleg2020'!D43+'1.4.mell._HKK_Mérleg2020'!D43+'1.5._mell._MŐSZ_Mérleg2020'!D43+'1.6._mell._HVGYKCSSZ_Mérleg2020'!D43</f>
        <v>61643</v>
      </c>
      <c r="E43" s="28">
        <f>+'1.1.mell._ÖNK_Mérleg2020'!E43+'1.2.mell._HKÖH_Mérleg2020'!E43+'1.3.mell._HVÓBKI_Mérleg2020'!E43+'1.4.mell._HKK_Mérleg2020'!E43+'1.5._mell._MŐSZ_Mérleg2020'!E43+'1.6._mell._HVGYKCSSZ_Mérleg2020'!E43</f>
        <v>0</v>
      </c>
      <c r="F43" s="29">
        <f>+'1.1.mell._ÖNK_Mérleg2020'!F43+'1.2.mell._HKÖH_Mérleg2020'!F43+'1.3.mell._HVÓBKI_Mérleg2020'!F43+'1.4.mell._HKK_Mérleg2020'!F43+'1.5._mell._MŐSZ_Mérleg2020'!F43+'1.6._mell._HVGYKCSSZ_Mérleg2020'!F43</f>
        <v>0</v>
      </c>
      <c r="H43" s="4">
        <f t="shared" si="0"/>
        <v>0</v>
      </c>
    </row>
    <row r="44" spans="1:8" s="3" customFormat="1" ht="12.75" thickBot="1">
      <c r="A44" s="99" t="s">
        <v>16</v>
      </c>
      <c r="B44" s="80" t="s">
        <v>969</v>
      </c>
      <c r="C44" s="44">
        <f>+C45+C46+C47+C48+C49</f>
        <v>0</v>
      </c>
      <c r="D44" s="33">
        <f>+D45+D46+D47+D48+D49</f>
        <v>0</v>
      </c>
      <c r="E44" s="34">
        <f>+E45+E46+E47+E48+E49</f>
        <v>0</v>
      </c>
      <c r="F44" s="35">
        <f>+F45+F46+F47+F48+F49</f>
        <v>0</v>
      </c>
      <c r="G44" s="776">
        <f>+C44/$C$102</f>
        <v>0</v>
      </c>
      <c r="H44" s="3">
        <f t="shared" si="0"/>
        <v>0</v>
      </c>
    </row>
    <row r="45" spans="1:8" ht="12.75" customHeight="1">
      <c r="A45" s="100" t="s">
        <v>226</v>
      </c>
      <c r="B45" s="81" t="s">
        <v>114</v>
      </c>
      <c r="C45" s="36">
        <f>+D45+E45+F45</f>
        <v>0</v>
      </c>
      <c r="D45" s="41">
        <f>+'1.1.mell._ÖNK_Mérleg2020'!D45+'1.2.mell._HKÖH_Mérleg2020'!D45+'1.3.mell._HVÓBKI_Mérleg2020'!D45+'1.4.mell._HKK_Mérleg2020'!D45+'1.5._mell._MŐSZ_Mérleg2020'!D45+'1.6._mell._HVGYKCSSZ_Mérleg2020'!D45</f>
        <v>0</v>
      </c>
      <c r="E45" s="11">
        <f>+'1.1.mell._ÖNK_Mérleg2020'!E45+'1.2.mell._HKÖH_Mérleg2020'!E45+'1.3.mell._HVÓBKI_Mérleg2020'!E45+'1.4.mell._HKK_Mérleg2020'!E45+'1.5._mell._MŐSZ_Mérleg2020'!E45+'1.6._mell._HVGYKCSSZ_Mérleg2020'!E45</f>
        <v>0</v>
      </c>
      <c r="F45" s="42">
        <f>+'1.1.mell._ÖNK_Mérleg2020'!F45+'1.2.mell._HKÖH_Mérleg2020'!F45+'1.3.mell._HVÓBKI_Mérleg2020'!F45+'1.4.mell._HKK_Mérleg2020'!F45+'1.5._mell._MŐSZ_Mérleg2020'!F45+'1.6._mell._HVGYKCSSZ_Mérleg2020'!F45</f>
        <v>0</v>
      </c>
      <c r="H45" s="4">
        <f t="shared" si="0"/>
        <v>0</v>
      </c>
    </row>
    <row r="46" spans="1:8" ht="12.75" customHeight="1">
      <c r="A46" s="100" t="s">
        <v>227</v>
      </c>
      <c r="B46" s="81" t="s">
        <v>900</v>
      </c>
      <c r="C46" s="36">
        <f>+D46+E46+F46</f>
        <v>0</v>
      </c>
      <c r="D46" s="41">
        <f>+'1.1.mell._ÖNK_Mérleg2020'!D46+'1.2.mell._HKÖH_Mérleg2020'!D46+'1.3.mell._HVÓBKI_Mérleg2020'!D46+'1.4.mell._HKK_Mérleg2020'!D46+'1.5._mell._MŐSZ_Mérleg2020'!D46+'1.6._mell._HVGYKCSSZ_Mérleg2020'!D46</f>
        <v>0</v>
      </c>
      <c r="E46" s="11">
        <f>+'1.1.mell._ÖNK_Mérleg2020'!E46+'1.2.mell._HKÖH_Mérleg2020'!E46+'1.3.mell._HVÓBKI_Mérleg2020'!E46+'1.4.mell._HKK_Mérleg2020'!E46+'1.5._mell._MŐSZ_Mérleg2020'!E46+'1.6._mell._HVGYKCSSZ_Mérleg2020'!E46</f>
        <v>0</v>
      </c>
      <c r="F46" s="42">
        <f>+'1.1.mell._ÖNK_Mérleg2020'!F46+'1.2.mell._HKÖH_Mérleg2020'!F46+'1.3.mell._HVÓBKI_Mérleg2020'!F46+'1.4.mell._HKK_Mérleg2020'!F46+'1.5._mell._MŐSZ_Mérleg2020'!F46+'1.6._mell._HVGYKCSSZ_Mérleg2020'!F46</f>
        <v>0</v>
      </c>
      <c r="H46" s="4">
        <f t="shared" si="0"/>
        <v>0</v>
      </c>
    </row>
    <row r="47" spans="1:8" ht="12.75" customHeight="1">
      <c r="A47" s="100" t="s">
        <v>228</v>
      </c>
      <c r="B47" s="81" t="s">
        <v>901</v>
      </c>
      <c r="C47" s="36">
        <f>+D47+E47+F47</f>
        <v>0</v>
      </c>
      <c r="D47" s="41">
        <f>+'1.1.mell._ÖNK_Mérleg2020'!D47+'1.2.mell._HKÖH_Mérleg2020'!D47+'1.3.mell._HVÓBKI_Mérleg2020'!D47+'1.4.mell._HKK_Mérleg2020'!D47+'1.5._mell._MŐSZ_Mérleg2020'!D47+'1.6._mell._HVGYKCSSZ_Mérleg2020'!D47</f>
        <v>0</v>
      </c>
      <c r="E47" s="11">
        <f>+'1.1.mell._ÖNK_Mérleg2020'!E47+'1.2.mell._HKÖH_Mérleg2020'!E47+'1.3.mell._HVÓBKI_Mérleg2020'!E47+'1.4.mell._HKK_Mérleg2020'!E47+'1.5._mell._MŐSZ_Mérleg2020'!E47+'1.6._mell._HVGYKCSSZ_Mérleg2020'!E47</f>
        <v>0</v>
      </c>
      <c r="F47" s="42">
        <f>+'1.1.mell._ÖNK_Mérleg2020'!F47+'1.2.mell._HKÖH_Mérleg2020'!F47+'1.3.mell._HVÓBKI_Mérleg2020'!F47+'1.4.mell._HKK_Mérleg2020'!F47+'1.5._mell._MŐSZ_Mérleg2020'!F47+'1.6._mell._HVGYKCSSZ_Mérleg2020'!F47</f>
        <v>0</v>
      </c>
      <c r="H47" s="4">
        <f t="shared" si="0"/>
        <v>0</v>
      </c>
    </row>
    <row r="48" spans="1:8" ht="12.75" customHeight="1">
      <c r="A48" s="101" t="s">
        <v>256</v>
      </c>
      <c r="B48" s="83" t="s">
        <v>902</v>
      </c>
      <c r="C48" s="23">
        <f>+D48+E48+F48</f>
        <v>0</v>
      </c>
      <c r="D48" s="21">
        <f>+'1.1.mell._ÖNK_Mérleg2020'!D48+'1.2.mell._HKÖH_Mérleg2020'!D48+'1.3.mell._HVÓBKI_Mérleg2020'!D48+'1.4.mell._HKK_Mérleg2020'!D48+'1.5._mell._MŐSZ_Mérleg2020'!D48+'1.6._mell._HVGYKCSSZ_Mérleg2020'!D48</f>
        <v>0</v>
      </c>
      <c r="E48" s="12">
        <f>+'1.1.mell._ÖNK_Mérleg2020'!E48+'1.2.mell._HKÖH_Mérleg2020'!E48+'1.3.mell._HVÓBKI_Mérleg2020'!E48+'1.4.mell._HKK_Mérleg2020'!E48+'1.5._mell._MŐSZ_Mérleg2020'!E48+'1.6._mell._HVGYKCSSZ_Mérleg2020'!E48</f>
        <v>0</v>
      </c>
      <c r="F48" s="17">
        <f>+'1.1.mell._ÖNK_Mérleg2020'!F48+'1.2.mell._HKÖH_Mérleg2020'!F48+'1.3.mell._HVÓBKI_Mérleg2020'!F48+'1.4.mell._HKK_Mérleg2020'!F48+'1.5._mell._MŐSZ_Mérleg2020'!F48+'1.6._mell._HVGYKCSSZ_Mérleg2020'!F48</f>
        <v>0</v>
      </c>
      <c r="H48" s="4">
        <f t="shared" si="0"/>
        <v>0</v>
      </c>
    </row>
    <row r="49" spans="1:8" ht="12.75" customHeight="1" thickBot="1">
      <c r="A49" s="94" t="s">
        <v>257</v>
      </c>
      <c r="B49" s="84" t="s">
        <v>903</v>
      </c>
      <c r="C49" s="26">
        <f>+D49+E49+F49</f>
        <v>0</v>
      </c>
      <c r="D49" s="27">
        <f>+'1.1.mell._ÖNK_Mérleg2020'!D49+'1.2.mell._HKÖH_Mérleg2020'!D49+'1.3.mell._HVÓBKI_Mérleg2020'!D49+'1.4.mell._HKK_Mérleg2020'!D49+'1.5._mell._MŐSZ_Mérleg2020'!D49+'1.6._mell._HVGYKCSSZ_Mérleg2020'!D49</f>
        <v>0</v>
      </c>
      <c r="E49" s="28">
        <f>+'1.1.mell._ÖNK_Mérleg2020'!E49+'1.2.mell._HKÖH_Mérleg2020'!E49+'1.3.mell._HVÓBKI_Mérleg2020'!E49+'1.4.mell._HKK_Mérleg2020'!E49+'1.5._mell._MŐSZ_Mérleg2020'!E49+'1.6._mell._HVGYKCSSZ_Mérleg2020'!E49</f>
        <v>0</v>
      </c>
      <c r="F49" s="29">
        <f>+'1.1.mell._ÖNK_Mérleg2020'!F49+'1.2.mell._HKÖH_Mérleg2020'!F49+'1.3.mell._HVÓBKI_Mérleg2020'!F49+'1.4.mell._HKK_Mérleg2020'!F49+'1.5._mell._MŐSZ_Mérleg2020'!F49+'1.6._mell._HVGYKCSSZ_Mérleg2020'!F49</f>
        <v>0</v>
      </c>
      <c r="H49" s="4">
        <f t="shared" si="0"/>
        <v>0</v>
      </c>
    </row>
    <row r="50" spans="1:8" s="3" customFormat="1" ht="12.75" thickBot="1">
      <c r="A50" s="99" t="s">
        <v>15</v>
      </c>
      <c r="B50" s="85" t="s">
        <v>299</v>
      </c>
      <c r="C50" s="44">
        <f>+C51+C58+C64</f>
        <v>73726</v>
      </c>
      <c r="D50" s="33">
        <f>+D51+D58+D64</f>
        <v>72626</v>
      </c>
      <c r="E50" s="34">
        <f>+E51+E58+E64</f>
        <v>1100</v>
      </c>
      <c r="F50" s="35">
        <f>+F51+F58+F64</f>
        <v>0</v>
      </c>
      <c r="G50" s="776">
        <f>+C50/$C$102</f>
        <v>1.6192221074793102E-2</v>
      </c>
      <c r="H50" s="3">
        <f t="shared" si="0"/>
        <v>0</v>
      </c>
    </row>
    <row r="51" spans="1:8" s="3" customFormat="1" ht="12.75" customHeight="1" thickBot="1">
      <c r="A51" s="99" t="s">
        <v>14</v>
      </c>
      <c r="B51" s="80" t="s">
        <v>300</v>
      </c>
      <c r="C51" s="44">
        <f>+C52+C53+C54+C55+C56</f>
        <v>32276</v>
      </c>
      <c r="D51" s="33">
        <f>+D52+D53+D54+D55+D56</f>
        <v>32276</v>
      </c>
      <c r="E51" s="34">
        <f>+E52+E53+E54+E55+E56</f>
        <v>0</v>
      </c>
      <c r="F51" s="35">
        <f>+F52+F53+F54+F55+F56</f>
        <v>0</v>
      </c>
      <c r="G51" s="776">
        <f>+C51/$C$102</f>
        <v>7.0886814340941065E-3</v>
      </c>
      <c r="H51" s="3">
        <f t="shared" si="0"/>
        <v>0</v>
      </c>
    </row>
    <row r="52" spans="1:8">
      <c r="A52" s="100" t="s">
        <v>184</v>
      </c>
      <c r="B52" s="135" t="s">
        <v>115</v>
      </c>
      <c r="C52" s="36">
        <f t="shared" ref="C52:C57" si="4">+D52+E52+F52</f>
        <v>0</v>
      </c>
      <c r="D52" s="41">
        <f>+'1.1.mell._ÖNK_Mérleg2020'!D52+'1.2.mell._HKÖH_Mérleg2020'!D52+'1.3.mell._HVÓBKI_Mérleg2020'!D52+'1.4.mell._HKK_Mérleg2020'!D52+'1.5._mell._MŐSZ_Mérleg2020'!D52+'1.6._mell._HVGYKCSSZ_Mérleg2020'!D52</f>
        <v>0</v>
      </c>
      <c r="E52" s="11">
        <f>+'1.1.mell._ÖNK_Mérleg2020'!E52+'1.2.mell._HKÖH_Mérleg2020'!E52+'1.3.mell._HVÓBKI_Mérleg2020'!E52+'1.4.mell._HKK_Mérleg2020'!E52+'1.5._mell._MŐSZ_Mérleg2020'!E52+'1.6._mell._HVGYKCSSZ_Mérleg2020'!E52</f>
        <v>0</v>
      </c>
      <c r="F52" s="42">
        <f>+'1.1.mell._ÖNK_Mérleg2020'!F52+'1.2.mell._HKÖH_Mérleg2020'!F52+'1.3.mell._HVÓBKI_Mérleg2020'!F52+'1.4.mell._HKK_Mérleg2020'!F52+'1.5._mell._MŐSZ_Mérleg2020'!F52+'1.6._mell._HVGYKCSSZ_Mérleg2020'!F52</f>
        <v>0</v>
      </c>
      <c r="H52" s="4">
        <f t="shared" si="0"/>
        <v>0</v>
      </c>
    </row>
    <row r="53" spans="1:8">
      <c r="A53" s="101" t="s">
        <v>185</v>
      </c>
      <c r="B53" s="83" t="s">
        <v>116</v>
      </c>
      <c r="C53" s="23">
        <f t="shared" si="4"/>
        <v>0</v>
      </c>
      <c r="D53" s="21">
        <f>+'1.1.mell._ÖNK_Mérleg2020'!D53+'1.2.mell._HKÖH_Mérleg2020'!D53+'1.3.mell._HVÓBKI_Mérleg2020'!D53+'1.4.mell._HKK_Mérleg2020'!D53+'1.5._mell._MŐSZ_Mérleg2020'!D53+'1.6._mell._HVGYKCSSZ_Mérleg2020'!D53</f>
        <v>0</v>
      </c>
      <c r="E53" s="12">
        <f>+'1.1.mell._ÖNK_Mérleg2020'!E53+'1.2.mell._HKÖH_Mérleg2020'!E53+'1.3.mell._HVÓBKI_Mérleg2020'!E53+'1.4.mell._HKK_Mérleg2020'!E53+'1.5._mell._MŐSZ_Mérleg2020'!E53+'1.6._mell._HVGYKCSSZ_Mérleg2020'!E53</f>
        <v>0</v>
      </c>
      <c r="F53" s="17">
        <f>+'1.1.mell._ÖNK_Mérleg2020'!F53+'1.2.mell._HKÖH_Mérleg2020'!F53+'1.3.mell._HVÓBKI_Mérleg2020'!F53+'1.4.mell._HKK_Mérleg2020'!F53+'1.5._mell._MŐSZ_Mérleg2020'!F53+'1.6._mell._HVGYKCSSZ_Mérleg2020'!F53</f>
        <v>0</v>
      </c>
      <c r="H53" s="4">
        <f t="shared" si="0"/>
        <v>0</v>
      </c>
    </row>
    <row r="54" spans="1:8">
      <c r="A54" s="101" t="s">
        <v>186</v>
      </c>
      <c r="B54" s="83" t="s">
        <v>117</v>
      </c>
      <c r="C54" s="23">
        <f t="shared" si="4"/>
        <v>0</v>
      </c>
      <c r="D54" s="21">
        <f>+'1.1.mell._ÖNK_Mérleg2020'!D54+'1.2.mell._HKÖH_Mérleg2020'!D54+'1.3.mell._HVÓBKI_Mérleg2020'!D54+'1.4.mell._HKK_Mérleg2020'!D54+'1.5._mell._MŐSZ_Mérleg2020'!D54+'1.6._mell._HVGYKCSSZ_Mérleg2020'!D54</f>
        <v>0</v>
      </c>
      <c r="E54" s="12">
        <f>+'1.1.mell._ÖNK_Mérleg2020'!E54+'1.2.mell._HKÖH_Mérleg2020'!E54+'1.3.mell._HVÓBKI_Mérleg2020'!E54+'1.4.mell._HKK_Mérleg2020'!E54+'1.5._mell._MŐSZ_Mérleg2020'!E54+'1.6._mell._HVGYKCSSZ_Mérleg2020'!E54</f>
        <v>0</v>
      </c>
      <c r="F54" s="17">
        <f>+'1.1.mell._ÖNK_Mérleg2020'!F54+'1.2.mell._HKÖH_Mérleg2020'!F54+'1.3.mell._HVÓBKI_Mérleg2020'!F54+'1.4.mell._HKK_Mérleg2020'!F54+'1.5._mell._MŐSZ_Mérleg2020'!F54+'1.6._mell._HVGYKCSSZ_Mérleg2020'!F54</f>
        <v>0</v>
      </c>
      <c r="H54" s="4">
        <f t="shared" si="0"/>
        <v>0</v>
      </c>
    </row>
    <row r="55" spans="1:8">
      <c r="A55" s="101" t="s">
        <v>187</v>
      </c>
      <c r="B55" s="83" t="s">
        <v>118</v>
      </c>
      <c r="C55" s="23">
        <f t="shared" si="4"/>
        <v>0</v>
      </c>
      <c r="D55" s="21">
        <f>+'1.1.mell._ÖNK_Mérleg2020'!D55+'1.2.mell._HKÖH_Mérleg2020'!D55+'1.3.mell._HVÓBKI_Mérleg2020'!D55+'1.4.mell._HKK_Mérleg2020'!D55+'1.5._mell._MŐSZ_Mérleg2020'!D55+'1.6._mell._HVGYKCSSZ_Mérleg2020'!D55</f>
        <v>0</v>
      </c>
      <c r="E55" s="12">
        <f>+'1.1.mell._ÖNK_Mérleg2020'!E55+'1.2.mell._HKÖH_Mérleg2020'!E55+'1.3.mell._HVÓBKI_Mérleg2020'!E55+'1.4.mell._HKK_Mérleg2020'!E55+'1.5._mell._MŐSZ_Mérleg2020'!E55+'1.6._mell._HVGYKCSSZ_Mérleg2020'!E55</f>
        <v>0</v>
      </c>
      <c r="F55" s="17">
        <f>+'1.1.mell._ÖNK_Mérleg2020'!F55+'1.2.mell._HKÖH_Mérleg2020'!F55+'1.3.mell._HVÓBKI_Mérleg2020'!F55+'1.4.mell._HKK_Mérleg2020'!F55+'1.5._mell._MŐSZ_Mérleg2020'!F55+'1.6._mell._HVGYKCSSZ_Mérleg2020'!F55</f>
        <v>0</v>
      </c>
      <c r="H55" s="4">
        <f t="shared" si="0"/>
        <v>0</v>
      </c>
    </row>
    <row r="56" spans="1:8">
      <c r="A56" s="94" t="s">
        <v>188</v>
      </c>
      <c r="B56" s="84" t="s">
        <v>119</v>
      </c>
      <c r="C56" s="26">
        <f t="shared" si="4"/>
        <v>32276</v>
      </c>
      <c r="D56" s="27">
        <f>+'1.1.mell._ÖNK_Mérleg2020'!D56+'1.2.mell._HKÖH_Mérleg2020'!D56+'1.3.mell._HVÓBKI_Mérleg2020'!D56+'1.4.mell._HKK_Mérleg2020'!D56+'1.5._mell._MŐSZ_Mérleg2020'!D56+'1.6._mell._HVGYKCSSZ_Mérleg2020'!D56</f>
        <v>32276</v>
      </c>
      <c r="E56" s="28">
        <f>+'1.1.mell._ÖNK_Mérleg2020'!E56+'1.2.mell._HKÖH_Mérleg2020'!E56+'1.3.mell._HVÓBKI_Mérleg2020'!E56+'1.4.mell._HKK_Mérleg2020'!E56+'1.5._mell._MŐSZ_Mérleg2020'!E56+'1.6._mell._HVGYKCSSZ_Mérleg2020'!E56</f>
        <v>0</v>
      </c>
      <c r="F56" s="29">
        <f>+'1.1.mell._ÖNK_Mérleg2020'!F56+'1.2.mell._HKÖH_Mérleg2020'!F56+'1.3.mell._HVÓBKI_Mérleg2020'!F56+'1.4.mell._HKK_Mérleg2020'!F56+'1.5._mell._MŐSZ_Mérleg2020'!F56+'1.6._mell._HVGYKCSSZ_Mérleg2020'!F56</f>
        <v>0</v>
      </c>
      <c r="H56" s="4">
        <f t="shared" si="0"/>
        <v>0</v>
      </c>
    </row>
    <row r="57" spans="1:8" s="14" customFormat="1" ht="12.75" thickBot="1">
      <c r="A57" s="105" t="s">
        <v>333</v>
      </c>
      <c r="B57" s="894" t="s">
        <v>337</v>
      </c>
      <c r="C57" s="58">
        <f t="shared" si="4"/>
        <v>0</v>
      </c>
      <c r="D57" s="56">
        <f>+'1.1.mell._ÖNK_Mérleg2020'!D57+'1.2.mell._HKÖH_Mérleg2020'!D57+'1.3.mell._HVÓBKI_Mérleg2020'!D57+'1.4.mell._HKK_Mérleg2020'!D57+'1.5._mell._MŐSZ_Mérleg2020'!D57+'1.6._mell._HVGYKCSSZ_Mérleg2020'!D57</f>
        <v>0</v>
      </c>
      <c r="E57" s="54">
        <f>+'1.1.mell._ÖNK_Mérleg2020'!E57+'1.2.mell._HKÖH_Mérleg2020'!E57+'1.3.mell._HVÓBKI_Mérleg2020'!E57+'1.4.mell._HKK_Mérleg2020'!E57+'1.5._mell._MŐSZ_Mérleg2020'!E57+'1.6._mell._HVGYKCSSZ_Mérleg2020'!E57</f>
        <v>0</v>
      </c>
      <c r="F57" s="55">
        <f>+'1.1.mell._ÖNK_Mérleg2020'!F57+'1.2.mell._HKÖH_Mérleg2020'!F57+'1.3.mell._HVÓBKI_Mérleg2020'!F57+'1.4.mell._HKK_Mérleg2020'!F57+'1.5._mell._MŐSZ_Mérleg2020'!F57+'1.6._mell._HVGYKCSSZ_Mérleg2020'!F57</f>
        <v>0</v>
      </c>
      <c r="H57" s="14">
        <f t="shared" si="0"/>
        <v>0</v>
      </c>
    </row>
    <row r="58" spans="1:8" s="3" customFormat="1" ht="12.75" customHeight="1" thickBot="1">
      <c r="A58" s="99" t="s">
        <v>13</v>
      </c>
      <c r="B58" s="80" t="s">
        <v>301</v>
      </c>
      <c r="C58" s="44">
        <f>+C59+C60+C61+C62+C63</f>
        <v>40350</v>
      </c>
      <c r="D58" s="33">
        <f>+D59+D60+D61+D62+D63</f>
        <v>40350</v>
      </c>
      <c r="E58" s="34">
        <f>+E59+E60+E61+E62+E63</f>
        <v>0</v>
      </c>
      <c r="F58" s="35">
        <f>+F59+F60+F61+F62+F63</f>
        <v>0</v>
      </c>
      <c r="G58" s="776">
        <f>+C58/$C$102</f>
        <v>8.8619499276768252E-3</v>
      </c>
      <c r="H58" s="3">
        <f t="shared" si="0"/>
        <v>0</v>
      </c>
    </row>
    <row r="59" spans="1:8" ht="12.75" customHeight="1">
      <c r="A59" s="100" t="s">
        <v>66</v>
      </c>
      <c r="B59" s="81" t="s">
        <v>120</v>
      </c>
      <c r="C59" s="36">
        <f>+D59+E59+F59</f>
        <v>0</v>
      </c>
      <c r="D59" s="41">
        <f>+'1.1.mell._ÖNK_Mérleg2020'!D59+'1.2.mell._HKÖH_Mérleg2020'!D59+'1.3.mell._HVÓBKI_Mérleg2020'!D59+'1.4.mell._HKK_Mérleg2020'!D59+'1.5._mell._MŐSZ_Mérleg2020'!D59+'1.6._mell._HVGYKCSSZ_Mérleg2020'!D59</f>
        <v>0</v>
      </c>
      <c r="E59" s="11">
        <f>+'1.1.mell._ÖNK_Mérleg2020'!E59+'1.2.mell._HKÖH_Mérleg2020'!E59+'1.3.mell._HVÓBKI_Mérleg2020'!E59+'1.4.mell._HKK_Mérleg2020'!E59+'1.5._mell._MŐSZ_Mérleg2020'!E59+'1.6._mell._HVGYKCSSZ_Mérleg2020'!E59</f>
        <v>0</v>
      </c>
      <c r="F59" s="42">
        <f>+'1.1.mell._ÖNK_Mérleg2020'!F59+'1.2.mell._HKÖH_Mérleg2020'!F59+'1.3.mell._HVÓBKI_Mérleg2020'!F59+'1.4.mell._HKK_Mérleg2020'!F59+'1.5._mell._MŐSZ_Mérleg2020'!F59+'1.6._mell._HVGYKCSSZ_Mérleg2020'!F59</f>
        <v>0</v>
      </c>
      <c r="H59" s="4">
        <f t="shared" si="0"/>
        <v>0</v>
      </c>
    </row>
    <row r="60" spans="1:8" ht="12.75" customHeight="1">
      <c r="A60" s="101" t="s">
        <v>67</v>
      </c>
      <c r="B60" s="83" t="s">
        <v>121</v>
      </c>
      <c r="C60" s="23">
        <f>+D60+E60+F60</f>
        <v>40350</v>
      </c>
      <c r="D60" s="21">
        <f>+'1.1.mell._ÖNK_Mérleg2020'!D60+'1.2.mell._HKÖH_Mérleg2020'!D60+'1.3.mell._HVÓBKI_Mérleg2020'!D60+'1.4.mell._HKK_Mérleg2020'!D60+'1.5._mell._MŐSZ_Mérleg2020'!D60+'1.6._mell._HVGYKCSSZ_Mérleg2020'!D60</f>
        <v>40350</v>
      </c>
      <c r="E60" s="12">
        <f>+'1.1.mell._ÖNK_Mérleg2020'!E60+'1.2.mell._HKÖH_Mérleg2020'!E60+'1.3.mell._HVÓBKI_Mérleg2020'!E60+'1.4.mell._HKK_Mérleg2020'!E60+'1.5._mell._MŐSZ_Mérleg2020'!E60+'1.6._mell._HVGYKCSSZ_Mérleg2020'!E60</f>
        <v>0</v>
      </c>
      <c r="F60" s="17">
        <f>+'1.1.mell._ÖNK_Mérleg2020'!F60+'1.2.mell._HKÖH_Mérleg2020'!F60+'1.3.mell._HVÓBKI_Mérleg2020'!F60+'1.4.mell._HKK_Mérleg2020'!F60+'1.5._mell._MŐSZ_Mérleg2020'!F60+'1.6._mell._HVGYKCSSZ_Mérleg2020'!F60</f>
        <v>0</v>
      </c>
      <c r="H60" s="4">
        <f t="shared" si="0"/>
        <v>0</v>
      </c>
    </row>
    <row r="61" spans="1:8" ht="12.75" customHeight="1">
      <c r="A61" s="101" t="s">
        <v>68</v>
      </c>
      <c r="B61" s="83" t="s">
        <v>122</v>
      </c>
      <c r="C61" s="23">
        <f>+D61+E61+F61</f>
        <v>0</v>
      </c>
      <c r="D61" s="21">
        <f>+'1.1.mell._ÖNK_Mérleg2020'!D61+'1.2.mell._HKÖH_Mérleg2020'!D61+'1.3.mell._HVÓBKI_Mérleg2020'!D61+'1.4.mell._HKK_Mérleg2020'!D61+'1.5._mell._MŐSZ_Mérleg2020'!D61+'1.6._mell._HVGYKCSSZ_Mérleg2020'!D61</f>
        <v>0</v>
      </c>
      <c r="E61" s="12">
        <f>+'1.1.mell._ÖNK_Mérleg2020'!E61+'1.2.mell._HKÖH_Mérleg2020'!E61+'1.3.mell._HVÓBKI_Mérleg2020'!E61+'1.4.mell._HKK_Mérleg2020'!E61+'1.5._mell._MŐSZ_Mérleg2020'!E61+'1.6._mell._HVGYKCSSZ_Mérleg2020'!E61</f>
        <v>0</v>
      </c>
      <c r="F61" s="17">
        <f>+'1.1.mell._ÖNK_Mérleg2020'!F61+'1.2.mell._HKÖH_Mérleg2020'!F61+'1.3.mell._HVÓBKI_Mérleg2020'!F61+'1.4.mell._HKK_Mérleg2020'!F61+'1.5._mell._MŐSZ_Mérleg2020'!F61+'1.6._mell._HVGYKCSSZ_Mérleg2020'!F61</f>
        <v>0</v>
      </c>
      <c r="H61" s="4">
        <f t="shared" si="0"/>
        <v>0</v>
      </c>
    </row>
    <row r="62" spans="1:8" ht="12.75" customHeight="1">
      <c r="A62" s="101" t="s">
        <v>229</v>
      </c>
      <c r="B62" s="83" t="s">
        <v>123</v>
      </c>
      <c r="C62" s="23">
        <f>+D62+E62+F62</f>
        <v>0</v>
      </c>
      <c r="D62" s="21">
        <f>+'1.1.mell._ÖNK_Mérleg2020'!D62+'1.2.mell._HKÖH_Mérleg2020'!D62+'1.3.mell._HVÓBKI_Mérleg2020'!D62+'1.4.mell._HKK_Mérleg2020'!D62+'1.5._mell._MŐSZ_Mérleg2020'!D62+'1.6._mell._HVGYKCSSZ_Mérleg2020'!D62</f>
        <v>0</v>
      </c>
      <c r="E62" s="12">
        <f>+'1.1.mell._ÖNK_Mérleg2020'!E62+'1.2.mell._HKÖH_Mérleg2020'!E62+'1.3.mell._HVÓBKI_Mérleg2020'!E62+'1.4.mell._HKK_Mérleg2020'!E62+'1.5._mell._MŐSZ_Mérleg2020'!E62+'1.6._mell._HVGYKCSSZ_Mérleg2020'!E62</f>
        <v>0</v>
      </c>
      <c r="F62" s="17">
        <f>+'1.1.mell._ÖNK_Mérleg2020'!F62+'1.2.mell._HKÖH_Mérleg2020'!F62+'1.3.mell._HVÓBKI_Mérleg2020'!F62+'1.4.mell._HKK_Mérleg2020'!F62+'1.5._mell._MŐSZ_Mérleg2020'!F62+'1.6._mell._HVGYKCSSZ_Mérleg2020'!F62</f>
        <v>0</v>
      </c>
      <c r="H62" s="4">
        <f t="shared" si="0"/>
        <v>0</v>
      </c>
    </row>
    <row r="63" spans="1:8" ht="12.75" customHeight="1" thickBot="1">
      <c r="A63" s="94" t="s">
        <v>230</v>
      </c>
      <c r="B63" s="84" t="s">
        <v>124</v>
      </c>
      <c r="C63" s="26">
        <f>+D63+E63+F63</f>
        <v>0</v>
      </c>
      <c r="D63" s="27">
        <f>+'1.1.mell._ÖNK_Mérleg2020'!D63+'1.2.mell._HKÖH_Mérleg2020'!D63+'1.3.mell._HVÓBKI_Mérleg2020'!D63+'1.4.mell._HKK_Mérleg2020'!D63+'1.5._mell._MŐSZ_Mérleg2020'!D63+'1.6._mell._HVGYKCSSZ_Mérleg2020'!D63</f>
        <v>0</v>
      </c>
      <c r="E63" s="28">
        <f>+'1.1.mell._ÖNK_Mérleg2020'!E63+'1.2.mell._HKÖH_Mérleg2020'!E63+'1.3.mell._HVÓBKI_Mérleg2020'!E63+'1.4.mell._HKK_Mérleg2020'!E63+'1.5._mell._MŐSZ_Mérleg2020'!E63+'1.6._mell._HVGYKCSSZ_Mérleg2020'!E63</f>
        <v>0</v>
      </c>
      <c r="F63" s="29">
        <f>+'1.1.mell._ÖNK_Mérleg2020'!F63+'1.2.mell._HKÖH_Mérleg2020'!F63+'1.3.mell._HVÓBKI_Mérleg2020'!F63+'1.4.mell._HKK_Mérleg2020'!F63+'1.5._mell._MŐSZ_Mérleg2020'!F63+'1.6._mell._HVGYKCSSZ_Mérleg2020'!F63</f>
        <v>0</v>
      </c>
      <c r="H63" s="4">
        <f t="shared" si="0"/>
        <v>0</v>
      </c>
    </row>
    <row r="64" spans="1:8" s="3" customFormat="1" ht="12.75" thickBot="1">
      <c r="A64" s="99" t="s">
        <v>12</v>
      </c>
      <c r="B64" s="80" t="s">
        <v>907</v>
      </c>
      <c r="C64" s="44">
        <f>+C65+C66+C67+C68+C69</f>
        <v>1100</v>
      </c>
      <c r="D64" s="33">
        <f>+D65+D66+D67+D68+D69</f>
        <v>0</v>
      </c>
      <c r="E64" s="34">
        <f>+E65+E66+E67+E68+E69</f>
        <v>1100</v>
      </c>
      <c r="F64" s="35">
        <f>+F65+F66+F67+F68+F69</f>
        <v>0</v>
      </c>
      <c r="G64" s="776">
        <f>+C64/$C$102</f>
        <v>2.4158971302216871E-4</v>
      </c>
      <c r="H64" s="3">
        <f t="shared" si="0"/>
        <v>0</v>
      </c>
    </row>
    <row r="65" spans="1:8">
      <c r="A65" s="100" t="s">
        <v>69</v>
      </c>
      <c r="B65" s="81" t="s">
        <v>125</v>
      </c>
      <c r="C65" s="36">
        <f>+D65+E65+F65</f>
        <v>0</v>
      </c>
      <c r="D65" s="41">
        <f>+'1.1.mell._ÖNK_Mérleg2020'!D65+'1.2.mell._HKÖH_Mérleg2020'!D65+'1.3.mell._HVÓBKI_Mérleg2020'!D65+'1.4.mell._HKK_Mérleg2020'!D65+'1.5._mell._MŐSZ_Mérleg2020'!D65+'1.6._mell._HVGYKCSSZ_Mérleg2020'!D65</f>
        <v>0</v>
      </c>
      <c r="E65" s="11">
        <f>+'1.1.mell._ÖNK_Mérleg2020'!E65+'1.2.mell._HKÖH_Mérleg2020'!E65+'1.3.mell._HVÓBKI_Mérleg2020'!E65+'1.4.mell._HKK_Mérleg2020'!E65+'1.5._mell._MŐSZ_Mérleg2020'!E65+'1.6._mell._HVGYKCSSZ_Mérleg2020'!E65</f>
        <v>0</v>
      </c>
      <c r="F65" s="42">
        <f>+'1.1.mell._ÖNK_Mérleg2020'!F65+'1.2.mell._HKÖH_Mérleg2020'!F65+'1.3.mell._HVÓBKI_Mérleg2020'!F65+'1.4.mell._HKK_Mérleg2020'!F65+'1.5._mell._MŐSZ_Mérleg2020'!F65+'1.6._mell._HVGYKCSSZ_Mérleg2020'!F65</f>
        <v>0</v>
      </c>
      <c r="H65" s="4">
        <f t="shared" si="0"/>
        <v>0</v>
      </c>
    </row>
    <row r="66" spans="1:8">
      <c r="A66" s="100" t="s">
        <v>70</v>
      </c>
      <c r="B66" s="81" t="s">
        <v>908</v>
      </c>
      <c r="C66" s="36">
        <f>+D66+E66+F66</f>
        <v>0</v>
      </c>
      <c r="D66" s="41">
        <f>+'1.1.mell._ÖNK_Mérleg2020'!D66+'1.2.mell._HKÖH_Mérleg2020'!D66+'1.3.mell._HVÓBKI_Mérleg2020'!D66+'1.4.mell._HKK_Mérleg2020'!D66+'1.5._mell._MŐSZ_Mérleg2020'!D66+'1.6._mell._HVGYKCSSZ_Mérleg2020'!D66</f>
        <v>0</v>
      </c>
      <c r="E66" s="11">
        <f>+'1.1.mell._ÖNK_Mérleg2020'!E66+'1.2.mell._HKÖH_Mérleg2020'!E66+'1.3.mell._HVÓBKI_Mérleg2020'!E66+'1.4.mell._HKK_Mérleg2020'!E66+'1.5._mell._MŐSZ_Mérleg2020'!E66+'1.6._mell._HVGYKCSSZ_Mérleg2020'!E66</f>
        <v>0</v>
      </c>
      <c r="F66" s="42">
        <f>+'1.1.mell._ÖNK_Mérleg2020'!F66+'1.2.mell._HKÖH_Mérleg2020'!F66+'1.3.mell._HVÓBKI_Mérleg2020'!F66+'1.4.mell._HKK_Mérleg2020'!F66+'1.5._mell._MŐSZ_Mérleg2020'!F66+'1.6._mell._HVGYKCSSZ_Mérleg2020'!F66</f>
        <v>0</v>
      </c>
      <c r="H66" s="4">
        <f t="shared" si="0"/>
        <v>0</v>
      </c>
    </row>
    <row r="67" spans="1:8">
      <c r="A67" s="100" t="s">
        <v>71</v>
      </c>
      <c r="B67" s="81" t="s">
        <v>909</v>
      </c>
      <c r="C67" s="36">
        <f>+D67+E67+F67</f>
        <v>0</v>
      </c>
      <c r="D67" s="41">
        <f>+'1.1.mell._ÖNK_Mérleg2020'!D67+'1.2.mell._HKÖH_Mérleg2020'!D67+'1.3.mell._HVÓBKI_Mérleg2020'!D67+'1.4.mell._HKK_Mérleg2020'!D67+'1.5._mell._MŐSZ_Mérleg2020'!D67+'1.6._mell._HVGYKCSSZ_Mérleg2020'!D67</f>
        <v>0</v>
      </c>
      <c r="E67" s="11">
        <f>+'1.1.mell._ÖNK_Mérleg2020'!E67+'1.2.mell._HKÖH_Mérleg2020'!E67+'1.3.mell._HVÓBKI_Mérleg2020'!E67+'1.4.mell._HKK_Mérleg2020'!E67+'1.5._mell._MŐSZ_Mérleg2020'!E67+'1.6._mell._HVGYKCSSZ_Mérleg2020'!E67</f>
        <v>0</v>
      </c>
      <c r="F67" s="42">
        <f>+'1.1.mell._ÖNK_Mérleg2020'!F67+'1.2.mell._HKÖH_Mérleg2020'!F67+'1.3.mell._HVÓBKI_Mérleg2020'!F67+'1.4.mell._HKK_Mérleg2020'!F67+'1.5._mell._MŐSZ_Mérleg2020'!F67+'1.6._mell._HVGYKCSSZ_Mérleg2020'!F67</f>
        <v>0</v>
      </c>
      <c r="H67" s="4">
        <f t="shared" si="0"/>
        <v>0</v>
      </c>
    </row>
    <row r="68" spans="1:8">
      <c r="A68" s="101" t="s">
        <v>72</v>
      </c>
      <c r="B68" s="83" t="s">
        <v>905</v>
      </c>
      <c r="C68" s="23">
        <f>+D68+E68+F68</f>
        <v>1100</v>
      </c>
      <c r="D68" s="21">
        <f>+'1.1.mell._ÖNK_Mérleg2020'!D68+'1.2.mell._HKÖH_Mérleg2020'!D68+'1.3.mell._HVÓBKI_Mérleg2020'!D68+'1.4.mell._HKK_Mérleg2020'!D68+'1.5._mell._MŐSZ_Mérleg2020'!D68+'1.6._mell._HVGYKCSSZ_Mérleg2020'!D68</f>
        <v>0</v>
      </c>
      <c r="E68" s="12">
        <f>+'1.1.mell._ÖNK_Mérleg2020'!E68+'1.2.mell._HKÖH_Mérleg2020'!E68+'1.3.mell._HVÓBKI_Mérleg2020'!E68+'1.4.mell._HKK_Mérleg2020'!E68+'1.5._mell._MŐSZ_Mérleg2020'!E68+'1.6._mell._HVGYKCSSZ_Mérleg2020'!E68</f>
        <v>1100</v>
      </c>
      <c r="F68" s="17">
        <f>+'1.1.mell._ÖNK_Mérleg2020'!F68+'1.2.mell._HKÖH_Mérleg2020'!F68+'1.3.mell._HVÓBKI_Mérleg2020'!F68+'1.4.mell._HKK_Mérleg2020'!F68+'1.5._mell._MŐSZ_Mérleg2020'!F68+'1.6._mell._HVGYKCSSZ_Mérleg2020'!F68</f>
        <v>0</v>
      </c>
      <c r="H68" s="4">
        <f t="shared" si="0"/>
        <v>0</v>
      </c>
    </row>
    <row r="69" spans="1:8" ht="12.75" thickBot="1">
      <c r="A69" s="94" t="s">
        <v>904</v>
      </c>
      <c r="B69" s="84" t="s">
        <v>906</v>
      </c>
      <c r="C69" s="26">
        <f>+D69+E69+F69</f>
        <v>0</v>
      </c>
      <c r="D69" s="27">
        <f>+'1.1.mell._ÖNK_Mérleg2020'!D69+'1.2.mell._HKÖH_Mérleg2020'!D69+'1.3.mell._HVÓBKI_Mérleg2020'!D69+'1.4.mell._HKK_Mérleg2020'!D69+'1.5._mell._MŐSZ_Mérleg2020'!D69+'1.6._mell._HVGYKCSSZ_Mérleg2020'!D69</f>
        <v>0</v>
      </c>
      <c r="E69" s="28">
        <f>+'1.1.mell._ÖNK_Mérleg2020'!E69+'1.2.mell._HKÖH_Mérleg2020'!E69+'1.3.mell._HVÓBKI_Mérleg2020'!E69+'1.4.mell._HKK_Mérleg2020'!E69+'1.5._mell._MŐSZ_Mérleg2020'!E69+'1.6._mell._HVGYKCSSZ_Mérleg2020'!E69</f>
        <v>0</v>
      </c>
      <c r="F69" s="29">
        <f>+'1.1.mell._ÖNK_Mérleg2020'!F69+'1.2.mell._HKÖH_Mérleg2020'!F69+'1.3.mell._HVÓBKI_Mérleg2020'!F69+'1.4.mell._HKK_Mérleg2020'!F69+'1.5._mell._MŐSZ_Mérleg2020'!F69+'1.6._mell._HVGYKCSSZ_Mérleg2020'!F69</f>
        <v>0</v>
      </c>
      <c r="H69" s="4">
        <f t="shared" si="0"/>
        <v>0</v>
      </c>
    </row>
    <row r="70" spans="1:8" s="3" customFormat="1" ht="12.75" thickBot="1">
      <c r="A70" s="99" t="s">
        <v>11</v>
      </c>
      <c r="B70" s="85" t="s">
        <v>302</v>
      </c>
      <c r="C70" s="44">
        <f>+C10+C50</f>
        <v>1666925</v>
      </c>
      <c r="D70" s="33">
        <f>+D10+D50</f>
        <v>1612881</v>
      </c>
      <c r="E70" s="34">
        <f>+E10+E50</f>
        <v>54044</v>
      </c>
      <c r="F70" s="35">
        <f>+F10+F50</f>
        <v>0</v>
      </c>
      <c r="G70" s="776">
        <f>+C70/$C$102</f>
        <v>0.36610175670861689</v>
      </c>
      <c r="H70" s="3">
        <f t="shared" si="0"/>
        <v>0</v>
      </c>
    </row>
    <row r="71" spans="1:8" s="3" customFormat="1" ht="12.75" thickBot="1">
      <c r="A71" s="99" t="s">
        <v>10</v>
      </c>
      <c r="B71" s="86" t="s">
        <v>303</v>
      </c>
      <c r="C71" s="44">
        <f>+C72</f>
        <v>2876249</v>
      </c>
      <c r="D71" s="33">
        <f>+D72</f>
        <v>2876249</v>
      </c>
      <c r="E71" s="34">
        <f>+E72</f>
        <v>0</v>
      </c>
      <c r="F71" s="35">
        <f>+F72</f>
        <v>0</v>
      </c>
      <c r="G71" s="776">
        <f>+C71/$C$102</f>
        <v>0.63170197317299981</v>
      </c>
      <c r="H71" s="3">
        <f t="shared" si="0"/>
        <v>0</v>
      </c>
    </row>
    <row r="72" spans="1:8" s="3" customFormat="1" ht="12.75" thickBot="1">
      <c r="A72" s="99" t="s">
        <v>9</v>
      </c>
      <c r="B72" s="80" t="s">
        <v>916</v>
      </c>
      <c r="C72" s="44">
        <f>+C73+C83+C84+C85</f>
        <v>2876249</v>
      </c>
      <c r="D72" s="33">
        <f>+D73+D83+D84+D85</f>
        <v>2876249</v>
      </c>
      <c r="E72" s="34">
        <f>+E73+E83+E84+E85</f>
        <v>0</v>
      </c>
      <c r="F72" s="35">
        <f>+F73+F83+F84+F85</f>
        <v>0</v>
      </c>
      <c r="G72" s="776">
        <f>+C72/$C$102</f>
        <v>0.63170197317299981</v>
      </c>
      <c r="H72" s="3">
        <f t="shared" si="0"/>
        <v>0</v>
      </c>
    </row>
    <row r="73" spans="1:8">
      <c r="A73" s="100" t="s">
        <v>73</v>
      </c>
      <c r="B73" s="81" t="s">
        <v>911</v>
      </c>
      <c r="C73" s="36">
        <f>+C74+C75+C76+C77+C78+C79+C80+C81+C82</f>
        <v>2876249</v>
      </c>
      <c r="D73" s="41">
        <f>+D74+D75+D76+D77+D78+D79+D80+D81+D82</f>
        <v>2876249</v>
      </c>
      <c r="E73" s="11">
        <f>+E74+E75+E76+E77+E78+E79+E80+E81+E82</f>
        <v>0</v>
      </c>
      <c r="F73" s="42">
        <f>+F74+F75+F76+F77+F78+F79+F80+F81+F82</f>
        <v>0</v>
      </c>
      <c r="H73" s="4">
        <f t="shared" si="0"/>
        <v>0</v>
      </c>
    </row>
    <row r="74" spans="1:8" s="14" customFormat="1">
      <c r="A74" s="102" t="s">
        <v>195</v>
      </c>
      <c r="B74" s="82" t="s">
        <v>910</v>
      </c>
      <c r="C74" s="24">
        <f t="shared" ref="C74:C84" si="5">+D74+E74+F74</f>
        <v>0</v>
      </c>
      <c r="D74" s="20">
        <f>+'1.1.mell._ÖNK_Mérleg2020'!D74+'1.2.mell._HKÖH_Mérleg2020'!D74+'1.3.mell._HVÓBKI_Mérleg2020'!D74+'1.4.mell._HKK_Mérleg2020'!D74+'1.5._mell._MŐSZ_Mérleg2020'!D74+'1.6._mell._HVGYKCSSZ_Mérleg2020'!D74</f>
        <v>0</v>
      </c>
      <c r="E74" s="13">
        <f>+'1.1.mell._ÖNK_Mérleg2020'!E74+'1.2.mell._HKÖH_Mérleg2020'!E74+'1.3.mell._HVÓBKI_Mérleg2020'!E74+'1.4.mell._HKK_Mérleg2020'!E74+'1.5._mell._MŐSZ_Mérleg2020'!E74+'1.6._mell._HVGYKCSSZ_Mérleg2020'!E74</f>
        <v>0</v>
      </c>
      <c r="F74" s="16">
        <f>+'1.1.mell._ÖNK_Mérleg2020'!F74+'1.2.mell._HKÖH_Mérleg2020'!F74+'1.3.mell._HVÓBKI_Mérleg2020'!F74+'1.4.mell._HKK_Mérleg2020'!F74+'1.5._mell._MŐSZ_Mérleg2020'!F74+'1.6._mell._HVGYKCSSZ_Mérleg2020'!F74</f>
        <v>0</v>
      </c>
      <c r="H74" s="14">
        <f t="shared" si="0"/>
        <v>0</v>
      </c>
    </row>
    <row r="75" spans="1:8" s="14" customFormat="1">
      <c r="A75" s="102" t="s">
        <v>196</v>
      </c>
      <c r="B75" s="82" t="s">
        <v>246</v>
      </c>
      <c r="C75" s="24">
        <f t="shared" si="5"/>
        <v>0</v>
      </c>
      <c r="D75" s="20">
        <f>+'1.1.mell._ÖNK_Mérleg2020'!D75+'1.2.mell._HKÖH_Mérleg2020'!D75+'1.3.mell._HVÓBKI_Mérleg2020'!D75+'1.4.mell._HKK_Mérleg2020'!D75+'1.5._mell._MŐSZ_Mérleg2020'!D75+'1.6._mell._HVGYKCSSZ_Mérleg2020'!D75</f>
        <v>0</v>
      </c>
      <c r="E75" s="13">
        <f>+'1.1.mell._ÖNK_Mérleg2020'!E75+'1.2.mell._HKÖH_Mérleg2020'!E75+'1.3.mell._HVÓBKI_Mérleg2020'!E75+'1.4.mell._HKK_Mérleg2020'!E75+'1.5._mell._MŐSZ_Mérleg2020'!E75+'1.6._mell._HVGYKCSSZ_Mérleg2020'!E75</f>
        <v>0</v>
      </c>
      <c r="F75" s="16">
        <f>+'1.1.mell._ÖNK_Mérleg2020'!F75+'1.2.mell._HKÖH_Mérleg2020'!F75+'1.3.mell._HVÓBKI_Mérleg2020'!F75+'1.4.mell._HKK_Mérleg2020'!F75+'1.5._mell._MŐSZ_Mérleg2020'!F75+'1.6._mell._HVGYKCSSZ_Mérleg2020'!F75</f>
        <v>0</v>
      </c>
      <c r="H75" s="14">
        <f t="shared" ref="H75:H138" si="6">+C75-D75-E75-F75</f>
        <v>0</v>
      </c>
    </row>
    <row r="76" spans="1:8" s="14" customFormat="1">
      <c r="A76" s="102" t="s">
        <v>197</v>
      </c>
      <c r="B76" s="82" t="s">
        <v>247</v>
      </c>
      <c r="C76" s="24">
        <f t="shared" si="5"/>
        <v>2876249</v>
      </c>
      <c r="D76" s="20">
        <f>+'1.1.mell._ÖNK_Mérleg2020'!D76+'1.2.mell._HKÖH_Mérleg2020'!D76+'1.3.mell._HVÓBKI_Mérleg2020'!D76+'1.4.mell._HKK_Mérleg2020'!D76+'1.5._mell._MŐSZ_Mérleg2020'!D76+'1.6._mell._HVGYKCSSZ_Mérleg2020'!D76</f>
        <v>2876249</v>
      </c>
      <c r="E76" s="13">
        <f>+'1.1.mell._ÖNK_Mérleg2020'!E76+'1.2.mell._HKÖH_Mérleg2020'!E76+'1.3.mell._HVÓBKI_Mérleg2020'!E76+'1.4.mell._HKK_Mérleg2020'!E76+'1.5._mell._MŐSZ_Mérleg2020'!E76+'1.6._mell._HVGYKCSSZ_Mérleg2020'!E76</f>
        <v>0</v>
      </c>
      <c r="F76" s="16">
        <f>+'1.1.mell._ÖNK_Mérleg2020'!F76+'1.2.mell._HKÖH_Mérleg2020'!F76+'1.3.mell._HVÓBKI_Mérleg2020'!F76+'1.4.mell._HKK_Mérleg2020'!F76+'1.5._mell._MŐSZ_Mérleg2020'!F76+'1.6._mell._HVGYKCSSZ_Mérleg2020'!F76</f>
        <v>0</v>
      </c>
      <c r="H76" s="14">
        <f t="shared" si="6"/>
        <v>0</v>
      </c>
    </row>
    <row r="77" spans="1:8" s="14" customFormat="1">
      <c r="A77" s="102" t="s">
        <v>198</v>
      </c>
      <c r="B77" s="82" t="s">
        <v>248</v>
      </c>
      <c r="C77" s="24">
        <f t="shared" si="5"/>
        <v>0</v>
      </c>
      <c r="D77" s="20">
        <f>+'1.1.mell._ÖNK_Mérleg2020'!D77+'1.2.mell._HKÖH_Mérleg2020'!D77+'1.3.mell._HVÓBKI_Mérleg2020'!D77+'1.4.mell._HKK_Mérleg2020'!D77+'1.5._mell._MŐSZ_Mérleg2020'!D77+'1.6._mell._HVGYKCSSZ_Mérleg2020'!D77</f>
        <v>0</v>
      </c>
      <c r="E77" s="13">
        <f>+'1.1.mell._ÖNK_Mérleg2020'!E77+'1.2.mell._HKÖH_Mérleg2020'!E77+'1.3.mell._HVÓBKI_Mérleg2020'!E77+'1.4.mell._HKK_Mérleg2020'!E77+'1.5._mell._MŐSZ_Mérleg2020'!E77+'1.6._mell._HVGYKCSSZ_Mérleg2020'!E77</f>
        <v>0</v>
      </c>
      <c r="F77" s="16">
        <f>+'1.1.mell._ÖNK_Mérleg2020'!F77+'1.2.mell._HKÖH_Mérleg2020'!F77+'1.3.mell._HVÓBKI_Mérleg2020'!F77+'1.4.mell._HKK_Mérleg2020'!F77+'1.5._mell._MŐSZ_Mérleg2020'!F77+'1.6._mell._HVGYKCSSZ_Mérleg2020'!F77</f>
        <v>0</v>
      </c>
      <c r="H77" s="14">
        <f t="shared" si="6"/>
        <v>0</v>
      </c>
    </row>
    <row r="78" spans="1:8" s="14" customFormat="1">
      <c r="A78" s="102" t="s">
        <v>199</v>
      </c>
      <c r="B78" s="82" t="s">
        <v>249</v>
      </c>
      <c r="C78" s="24">
        <f t="shared" si="5"/>
        <v>0</v>
      </c>
      <c r="D78" s="20">
        <f>+'1.1.mell._ÖNK_Mérleg2020'!D78+'1.2.mell._HKÖH_Mérleg2020'!D78+'1.3.mell._HVÓBKI_Mérleg2020'!D78+'1.4.mell._HKK_Mérleg2020'!D78+'1.5._mell._MŐSZ_Mérleg2020'!D78+'1.6._mell._HVGYKCSSZ_Mérleg2020'!D78</f>
        <v>0</v>
      </c>
      <c r="E78" s="13">
        <f>+'1.1.mell._ÖNK_Mérleg2020'!E78+'1.2.mell._HKÖH_Mérleg2020'!E78+'1.3.mell._HVÓBKI_Mérleg2020'!E78+'1.4.mell._HKK_Mérleg2020'!E78+'1.5._mell._MŐSZ_Mérleg2020'!E78+'1.6._mell._HVGYKCSSZ_Mérleg2020'!E78</f>
        <v>0</v>
      </c>
      <c r="F78" s="16">
        <f>+'1.1.mell._ÖNK_Mérleg2020'!F78+'1.2.mell._HKÖH_Mérleg2020'!F78+'1.3.mell._HVÓBKI_Mérleg2020'!F78+'1.4.mell._HKK_Mérleg2020'!F78+'1.5._mell._MŐSZ_Mérleg2020'!F78+'1.6._mell._HVGYKCSSZ_Mérleg2020'!F78</f>
        <v>0</v>
      </c>
      <c r="H78" s="14">
        <f t="shared" si="6"/>
        <v>0</v>
      </c>
    </row>
    <row r="79" spans="1:8" s="14" customFormat="1">
      <c r="A79" s="121" t="s">
        <v>200</v>
      </c>
      <c r="B79" s="122" t="s">
        <v>250</v>
      </c>
      <c r="C79" s="123"/>
      <c r="D79" s="124"/>
      <c r="E79" s="125"/>
      <c r="F79" s="126"/>
      <c r="H79" s="140">
        <f t="shared" si="6"/>
        <v>0</v>
      </c>
    </row>
    <row r="80" spans="1:8" s="14" customFormat="1">
      <c r="A80" s="102" t="s">
        <v>203</v>
      </c>
      <c r="B80" s="82" t="s">
        <v>251</v>
      </c>
      <c r="C80" s="24">
        <f t="shared" si="5"/>
        <v>0</v>
      </c>
      <c r="D80" s="20">
        <f>+'1.1.mell._ÖNK_Mérleg2020'!D80+'1.2.mell._HKÖH_Mérleg2020'!D80+'1.3.mell._HVÓBKI_Mérleg2020'!D80+'1.4.mell._HKK_Mérleg2020'!D80+'1.5._mell._MŐSZ_Mérleg2020'!D80+'1.6._mell._HVGYKCSSZ_Mérleg2020'!D80</f>
        <v>0</v>
      </c>
      <c r="E80" s="13">
        <f>+'1.1.mell._ÖNK_Mérleg2020'!E80+'1.2.mell._HKÖH_Mérleg2020'!E80+'1.3.mell._HVÓBKI_Mérleg2020'!E80+'1.4.mell._HKK_Mérleg2020'!E80+'1.5._mell._MŐSZ_Mérleg2020'!E80+'1.6._mell._HVGYKCSSZ_Mérleg2020'!E80</f>
        <v>0</v>
      </c>
      <c r="F80" s="16">
        <f>+'1.1.mell._ÖNK_Mérleg2020'!F80+'1.2.mell._HKÖH_Mérleg2020'!F80+'1.3.mell._HVÓBKI_Mérleg2020'!F80+'1.4.mell._HKK_Mérleg2020'!F80+'1.5._mell._MŐSZ_Mérleg2020'!F80+'1.6._mell._HVGYKCSSZ_Mérleg2020'!F80</f>
        <v>0</v>
      </c>
      <c r="H80" s="140">
        <f t="shared" si="6"/>
        <v>0</v>
      </c>
    </row>
    <row r="81" spans="1:8" s="14" customFormat="1">
      <c r="A81" s="102" t="s">
        <v>201</v>
      </c>
      <c r="B81" s="82" t="s">
        <v>244</v>
      </c>
      <c r="C81" s="24">
        <f t="shared" si="5"/>
        <v>0</v>
      </c>
      <c r="D81" s="20">
        <f>+'1.1.mell._ÖNK_Mérleg2020'!D81+'1.2.mell._HKÖH_Mérleg2020'!D81+'1.3.mell._HVÓBKI_Mérleg2020'!D81+'1.4.mell._HKK_Mérleg2020'!D81+'1.5._mell._MŐSZ_Mérleg2020'!D81+'1.6._mell._HVGYKCSSZ_Mérleg2020'!D81</f>
        <v>0</v>
      </c>
      <c r="E81" s="13">
        <f>+'1.1.mell._ÖNK_Mérleg2020'!E81+'1.2.mell._HKÖH_Mérleg2020'!E81+'1.3.mell._HVÓBKI_Mérleg2020'!E81+'1.4.mell._HKK_Mérleg2020'!E81+'1.5._mell._MŐSZ_Mérleg2020'!E81+'1.6._mell._HVGYKCSSZ_Mérleg2020'!E81</f>
        <v>0</v>
      </c>
      <c r="F81" s="16">
        <f>+'1.1.mell._ÖNK_Mérleg2020'!F81+'1.2.mell._HKÖH_Mérleg2020'!F81+'1.3.mell._HVÓBKI_Mérleg2020'!F81+'1.4.mell._HKK_Mérleg2020'!F81+'1.5._mell._MŐSZ_Mérleg2020'!F81+'1.6._mell._HVGYKCSSZ_Mérleg2020'!F81</f>
        <v>0</v>
      </c>
      <c r="H81" s="140">
        <f t="shared" si="6"/>
        <v>0</v>
      </c>
    </row>
    <row r="82" spans="1:8" s="14" customFormat="1">
      <c r="A82" s="102" t="s">
        <v>912</v>
      </c>
      <c r="B82" s="82" t="s">
        <v>913</v>
      </c>
      <c r="C82" s="24">
        <f>+D82+E82+F82</f>
        <v>0</v>
      </c>
      <c r="D82" s="20">
        <f>+'1.1.mell._ÖNK_Mérleg2020'!D82+'1.2.mell._HKÖH_Mérleg2020'!D82+'1.3.mell._HVÓBKI_Mérleg2020'!D82+'1.4.mell._HKK_Mérleg2020'!D82+'1.5._mell._MŐSZ_Mérleg2020'!D82+'1.6._mell._HVGYKCSSZ_Mérleg2020'!D82</f>
        <v>0</v>
      </c>
      <c r="E82" s="13">
        <f>+'1.1.mell._ÖNK_Mérleg2020'!E82+'1.2.mell._HKÖH_Mérleg2020'!E82+'1.3.mell._HVÓBKI_Mérleg2020'!E82+'1.4.mell._HKK_Mérleg2020'!E82+'1.5._mell._MŐSZ_Mérleg2020'!E82+'1.6._mell._HVGYKCSSZ_Mérleg2020'!E82</f>
        <v>0</v>
      </c>
      <c r="F82" s="16">
        <f>+'1.1.mell._ÖNK_Mérleg2020'!F82+'1.2.mell._HKÖH_Mérleg2020'!F82+'1.3.mell._HVÓBKI_Mérleg2020'!F82+'1.4.mell._HKK_Mérleg2020'!F82+'1.5._mell._MŐSZ_Mérleg2020'!F82+'1.6._mell._HVGYKCSSZ_Mérleg2020'!F82</f>
        <v>0</v>
      </c>
      <c r="H82" s="140">
        <f t="shared" si="6"/>
        <v>0</v>
      </c>
    </row>
    <row r="83" spans="1:8">
      <c r="A83" s="101" t="s">
        <v>74</v>
      </c>
      <c r="B83" s="83" t="s">
        <v>242</v>
      </c>
      <c r="C83" s="23">
        <f t="shared" si="5"/>
        <v>0</v>
      </c>
      <c r="D83" s="21">
        <f>+'1.1.mell._ÖNK_Mérleg2020'!D83+'1.2.mell._HKÖH_Mérleg2020'!D83+'1.3.mell._HVÓBKI_Mérleg2020'!D83+'1.4.mell._HKK_Mérleg2020'!D83+'1.5._mell._MŐSZ_Mérleg2020'!D83+'1.6._mell._HVGYKCSSZ_Mérleg2020'!D83</f>
        <v>0</v>
      </c>
      <c r="E83" s="12">
        <f>+'1.1.mell._ÖNK_Mérleg2020'!E83+'1.2.mell._HKÖH_Mérleg2020'!E83+'1.3.mell._HVÓBKI_Mérleg2020'!E83+'1.4.mell._HKK_Mérleg2020'!E83+'1.5._mell._MŐSZ_Mérleg2020'!E83+'1.6._mell._HVGYKCSSZ_Mérleg2020'!E83</f>
        <v>0</v>
      </c>
      <c r="F83" s="17">
        <f>+'1.1.mell._ÖNK_Mérleg2020'!F83+'1.2.mell._HKÖH_Mérleg2020'!F83+'1.3.mell._HVÓBKI_Mérleg2020'!F83+'1.4.mell._HKK_Mérleg2020'!F83+'1.5._mell._MŐSZ_Mérleg2020'!F83+'1.6._mell._HVGYKCSSZ_Mérleg2020'!F83</f>
        <v>0</v>
      </c>
      <c r="H83" s="141">
        <f t="shared" si="6"/>
        <v>0</v>
      </c>
    </row>
    <row r="84" spans="1:8">
      <c r="A84" s="94" t="s">
        <v>202</v>
      </c>
      <c r="B84" s="84" t="s">
        <v>243</v>
      </c>
      <c r="C84" s="26">
        <f t="shared" si="5"/>
        <v>0</v>
      </c>
      <c r="D84" s="27">
        <f>+'1.1.mell._ÖNK_Mérleg2020'!D84+'1.2.mell._HKÖH_Mérleg2020'!D84+'1.3.mell._HVÓBKI_Mérleg2020'!D84+'1.4.mell._HKK_Mérleg2020'!D84+'1.5._mell._MŐSZ_Mérleg2020'!D84+'1.6._mell._HVGYKCSSZ_Mérleg2020'!D84</f>
        <v>0</v>
      </c>
      <c r="E84" s="28">
        <f>+'1.1.mell._ÖNK_Mérleg2020'!E84+'1.2.mell._HKÖH_Mérleg2020'!E84+'1.3.mell._HVÓBKI_Mérleg2020'!E84+'1.4.mell._HKK_Mérleg2020'!E84+'1.5._mell._MŐSZ_Mérleg2020'!E84+'1.6._mell._HVGYKCSSZ_Mérleg2020'!E84</f>
        <v>0</v>
      </c>
      <c r="F84" s="29">
        <f>+'1.1.mell._ÖNK_Mérleg2020'!F84+'1.2.mell._HKÖH_Mérleg2020'!F84+'1.3.mell._HVÓBKI_Mérleg2020'!F84+'1.4.mell._HKK_Mérleg2020'!F84+'1.5._mell._MŐSZ_Mérleg2020'!F84+'1.6._mell._HVGYKCSSZ_Mérleg2020'!F84</f>
        <v>0</v>
      </c>
      <c r="H84" s="141">
        <f t="shared" si="6"/>
        <v>0</v>
      </c>
    </row>
    <row r="85" spans="1:8" ht="12.75" thickBot="1">
      <c r="A85" s="94" t="s">
        <v>914</v>
      </c>
      <c r="B85" s="84" t="s">
        <v>915</v>
      </c>
      <c r="C85" s="26">
        <f>+D85+E85+F85</f>
        <v>0</v>
      </c>
      <c r="D85" s="27">
        <f>+'1.1.mell._ÖNK_Mérleg2020'!D85+'1.2.mell._HKÖH_Mérleg2020'!D85+'1.3.mell._HVÓBKI_Mérleg2020'!D85+'1.4.mell._HKK_Mérleg2020'!D85+'1.5._mell._MŐSZ_Mérleg2020'!D85+'1.6._mell._HVGYKCSSZ_Mérleg2020'!D85</f>
        <v>0</v>
      </c>
      <c r="E85" s="28">
        <f>+'1.1.mell._ÖNK_Mérleg2020'!E85+'1.2.mell._HKÖH_Mérleg2020'!E85+'1.3.mell._HVÓBKI_Mérleg2020'!E85+'1.4.mell._HKK_Mérleg2020'!E85+'1.5._mell._MŐSZ_Mérleg2020'!E85+'1.6._mell._HVGYKCSSZ_Mérleg2020'!E85</f>
        <v>0</v>
      </c>
      <c r="F85" s="29">
        <f>+'1.1.mell._ÖNK_Mérleg2020'!F85+'1.2.mell._HKÖH_Mérleg2020'!F85+'1.3.mell._HVÓBKI_Mérleg2020'!F85+'1.4.mell._HKK_Mérleg2020'!F85+'1.5._mell._MŐSZ_Mérleg2020'!F85+'1.6._mell._HVGYKCSSZ_Mérleg2020'!F85</f>
        <v>0</v>
      </c>
      <c r="H85" s="141">
        <f t="shared" si="6"/>
        <v>0</v>
      </c>
    </row>
    <row r="86" spans="1:8" s="3" customFormat="1" ht="12.75" thickBot="1">
      <c r="A86" s="99" t="s">
        <v>45</v>
      </c>
      <c r="B86" s="86" t="s">
        <v>304</v>
      </c>
      <c r="C86" s="44">
        <f>+C87</f>
        <v>10000</v>
      </c>
      <c r="D86" s="33">
        <f>+D87</f>
        <v>10000</v>
      </c>
      <c r="E86" s="34">
        <f>+E87</f>
        <v>0</v>
      </c>
      <c r="F86" s="35">
        <f>+F87</f>
        <v>0</v>
      </c>
      <c r="G86" s="776">
        <f>+C86/$C$102</f>
        <v>2.1962701183833519E-3</v>
      </c>
      <c r="H86" s="143">
        <f t="shared" si="6"/>
        <v>0</v>
      </c>
    </row>
    <row r="87" spans="1:8" s="3" customFormat="1" ht="12.75" thickBot="1">
      <c r="A87" s="99" t="s">
        <v>44</v>
      </c>
      <c r="B87" s="80" t="s">
        <v>918</v>
      </c>
      <c r="C87" s="44">
        <f>+C88+C98+C99+C100</f>
        <v>10000</v>
      </c>
      <c r="D87" s="33">
        <f>+D88+D98+D99+D100</f>
        <v>10000</v>
      </c>
      <c r="E87" s="34">
        <f>+E88+E98+E99+E100</f>
        <v>0</v>
      </c>
      <c r="F87" s="35">
        <f>+F88+F98+F99+F100</f>
        <v>0</v>
      </c>
      <c r="G87" s="776">
        <f>+C87/$C$102</f>
        <v>2.1962701183833519E-3</v>
      </c>
      <c r="H87" s="143">
        <f t="shared" si="6"/>
        <v>0</v>
      </c>
    </row>
    <row r="88" spans="1:8">
      <c r="A88" s="100" t="s">
        <v>231</v>
      </c>
      <c r="B88" s="81" t="s">
        <v>970</v>
      </c>
      <c r="C88" s="36">
        <f>+C89+C90+C91+C92+C93+C94+C95+C96+C97</f>
        <v>10000</v>
      </c>
      <c r="D88" s="41">
        <f>+D89+D90+D91+D92+D93+D94+D95+D96+D97</f>
        <v>10000</v>
      </c>
      <c r="E88" s="11">
        <f>+E89+E90+E91+E92+E93+E94+E95+E96+E97</f>
        <v>0</v>
      </c>
      <c r="F88" s="42">
        <f>+F89+F90+F91+F92+F93+F94+F95+F96+F97</f>
        <v>0</v>
      </c>
      <c r="H88" s="141">
        <f t="shared" si="6"/>
        <v>0</v>
      </c>
    </row>
    <row r="89" spans="1:8" s="14" customFormat="1">
      <c r="A89" s="102" t="s">
        <v>232</v>
      </c>
      <c r="B89" s="82" t="s">
        <v>910</v>
      </c>
      <c r="C89" s="24">
        <f t="shared" ref="C89:C99" si="7">+D89+E89+F89</f>
        <v>10000</v>
      </c>
      <c r="D89" s="20">
        <f>+'1.1.mell._ÖNK_Mérleg2020'!D89+'1.2.mell._HKÖH_Mérleg2020'!D89+'1.3.mell._HVÓBKI_Mérleg2020'!D89+'1.4.mell._HKK_Mérleg2020'!D89+'1.5._mell._MŐSZ_Mérleg2020'!D89+'1.6._mell._HVGYKCSSZ_Mérleg2020'!D89</f>
        <v>10000</v>
      </c>
      <c r="E89" s="13">
        <f>+'1.1.mell._ÖNK_Mérleg2020'!E89+'1.2.mell._HKÖH_Mérleg2020'!E89+'1.3.mell._HVÓBKI_Mérleg2020'!E89+'1.4.mell._HKK_Mérleg2020'!E89+'1.5._mell._MŐSZ_Mérleg2020'!E89+'1.6._mell._HVGYKCSSZ_Mérleg2020'!E89</f>
        <v>0</v>
      </c>
      <c r="F89" s="16">
        <f>+'1.1.mell._ÖNK_Mérleg2020'!F89+'1.2.mell._HKÖH_Mérleg2020'!F89+'1.3.mell._HVÓBKI_Mérleg2020'!F89+'1.4.mell._HKK_Mérleg2020'!F89+'1.5._mell._MŐSZ_Mérleg2020'!F89+'1.6._mell._HVGYKCSSZ_Mérleg2020'!F89</f>
        <v>0</v>
      </c>
      <c r="H89" s="140">
        <f t="shared" si="6"/>
        <v>0</v>
      </c>
    </row>
    <row r="90" spans="1:8" s="14" customFormat="1">
      <c r="A90" s="102" t="s">
        <v>233</v>
      </c>
      <c r="B90" s="82" t="s">
        <v>246</v>
      </c>
      <c r="C90" s="24">
        <f t="shared" si="7"/>
        <v>0</v>
      </c>
      <c r="D90" s="20">
        <f>+'1.1.mell._ÖNK_Mérleg2020'!D90+'1.2.mell._HKÖH_Mérleg2020'!D90+'1.3.mell._HVÓBKI_Mérleg2020'!D90+'1.4.mell._HKK_Mérleg2020'!D90+'1.5._mell._MŐSZ_Mérleg2020'!D90+'1.6._mell._HVGYKCSSZ_Mérleg2020'!D90</f>
        <v>0</v>
      </c>
      <c r="E90" s="13">
        <f>+'1.1.mell._ÖNK_Mérleg2020'!E90+'1.2.mell._HKÖH_Mérleg2020'!E90+'1.3.mell._HVÓBKI_Mérleg2020'!E90+'1.4.mell._HKK_Mérleg2020'!E90+'1.5._mell._MŐSZ_Mérleg2020'!E90+'1.6._mell._HVGYKCSSZ_Mérleg2020'!E90</f>
        <v>0</v>
      </c>
      <c r="F90" s="16">
        <f>+'1.1.mell._ÖNK_Mérleg2020'!F90+'1.2.mell._HKÖH_Mérleg2020'!F90+'1.3.mell._HVÓBKI_Mérleg2020'!F90+'1.4.mell._HKK_Mérleg2020'!F90+'1.5._mell._MŐSZ_Mérleg2020'!F90+'1.6._mell._HVGYKCSSZ_Mérleg2020'!F90</f>
        <v>0</v>
      </c>
      <c r="H90" s="140">
        <f t="shared" si="6"/>
        <v>0</v>
      </c>
    </row>
    <row r="91" spans="1:8" s="14" customFormat="1">
      <c r="A91" s="102" t="s">
        <v>234</v>
      </c>
      <c r="B91" s="82" t="s">
        <v>247</v>
      </c>
      <c r="C91" s="24">
        <f t="shared" si="7"/>
        <v>0</v>
      </c>
      <c r="D91" s="20">
        <f>+'1.1.mell._ÖNK_Mérleg2020'!D91+'1.2.mell._HKÖH_Mérleg2020'!D91+'1.3.mell._HVÓBKI_Mérleg2020'!D91+'1.4.mell._HKK_Mérleg2020'!D91+'1.5._mell._MŐSZ_Mérleg2020'!D91+'1.6._mell._HVGYKCSSZ_Mérleg2020'!D91</f>
        <v>0</v>
      </c>
      <c r="E91" s="13">
        <f>+'1.1.mell._ÖNK_Mérleg2020'!E91+'1.2.mell._HKÖH_Mérleg2020'!E91+'1.3.mell._HVÓBKI_Mérleg2020'!E91+'1.4.mell._HKK_Mérleg2020'!E91+'1.5._mell._MŐSZ_Mérleg2020'!E91+'1.6._mell._HVGYKCSSZ_Mérleg2020'!E91</f>
        <v>0</v>
      </c>
      <c r="F91" s="16">
        <f>+'1.1.mell._ÖNK_Mérleg2020'!F91+'1.2.mell._HKÖH_Mérleg2020'!F91+'1.3.mell._HVÓBKI_Mérleg2020'!F91+'1.4.mell._HKK_Mérleg2020'!F91+'1.5._mell._MŐSZ_Mérleg2020'!F91+'1.6._mell._HVGYKCSSZ_Mérleg2020'!F91</f>
        <v>0</v>
      </c>
      <c r="H91" s="140">
        <f t="shared" si="6"/>
        <v>0</v>
      </c>
    </row>
    <row r="92" spans="1:8" s="14" customFormat="1">
      <c r="A92" s="102" t="s">
        <v>235</v>
      </c>
      <c r="B92" s="82" t="s">
        <v>248</v>
      </c>
      <c r="C92" s="24">
        <f t="shared" si="7"/>
        <v>0</v>
      </c>
      <c r="D92" s="20">
        <f>+'1.1.mell._ÖNK_Mérleg2020'!D92+'1.2.mell._HKÖH_Mérleg2020'!D92+'1.3.mell._HVÓBKI_Mérleg2020'!D92+'1.4.mell._HKK_Mérleg2020'!D92+'1.5._mell._MŐSZ_Mérleg2020'!D92+'1.6._mell._HVGYKCSSZ_Mérleg2020'!D92</f>
        <v>0</v>
      </c>
      <c r="E92" s="13">
        <f>+'1.1.mell._ÖNK_Mérleg2020'!E92+'1.2.mell._HKÖH_Mérleg2020'!E92+'1.3.mell._HVÓBKI_Mérleg2020'!E92+'1.4.mell._HKK_Mérleg2020'!E92+'1.5._mell._MŐSZ_Mérleg2020'!E92+'1.6._mell._HVGYKCSSZ_Mérleg2020'!E92</f>
        <v>0</v>
      </c>
      <c r="F92" s="16">
        <f>+'1.1.mell._ÖNK_Mérleg2020'!F92+'1.2.mell._HKÖH_Mérleg2020'!F92+'1.3.mell._HVÓBKI_Mérleg2020'!F92+'1.4.mell._HKK_Mérleg2020'!F92+'1.5._mell._MŐSZ_Mérleg2020'!F92+'1.6._mell._HVGYKCSSZ_Mérleg2020'!F92</f>
        <v>0</v>
      </c>
      <c r="H92" s="140">
        <f t="shared" si="6"/>
        <v>0</v>
      </c>
    </row>
    <row r="93" spans="1:8" s="14" customFormat="1">
      <c r="A93" s="102" t="s">
        <v>236</v>
      </c>
      <c r="B93" s="82" t="s">
        <v>249</v>
      </c>
      <c r="C93" s="24">
        <f t="shared" si="7"/>
        <v>0</v>
      </c>
      <c r="D93" s="20">
        <f>+'1.1.mell._ÖNK_Mérleg2020'!D93+'1.2.mell._HKÖH_Mérleg2020'!D93+'1.3.mell._HVÓBKI_Mérleg2020'!D93+'1.4.mell._HKK_Mérleg2020'!D93+'1.5._mell._MŐSZ_Mérleg2020'!D93+'1.6._mell._HVGYKCSSZ_Mérleg2020'!D93</f>
        <v>0</v>
      </c>
      <c r="E93" s="13">
        <f>+'1.1.mell._ÖNK_Mérleg2020'!E93+'1.2.mell._HKÖH_Mérleg2020'!E93+'1.3.mell._HVÓBKI_Mérleg2020'!E93+'1.4.mell._HKK_Mérleg2020'!E93+'1.5._mell._MŐSZ_Mérleg2020'!E93+'1.6._mell._HVGYKCSSZ_Mérleg2020'!E93</f>
        <v>0</v>
      </c>
      <c r="F93" s="16">
        <f>+'1.1.mell._ÖNK_Mérleg2020'!F93+'1.2.mell._HKÖH_Mérleg2020'!F93+'1.3.mell._HVÓBKI_Mérleg2020'!F93+'1.4.mell._HKK_Mérleg2020'!F93+'1.5._mell._MŐSZ_Mérleg2020'!F93+'1.6._mell._HVGYKCSSZ_Mérleg2020'!F93</f>
        <v>0</v>
      </c>
      <c r="H93" s="140">
        <f t="shared" si="6"/>
        <v>0</v>
      </c>
    </row>
    <row r="94" spans="1:8" s="14" customFormat="1">
      <c r="A94" s="121" t="s">
        <v>237</v>
      </c>
      <c r="B94" s="122" t="s">
        <v>250</v>
      </c>
      <c r="C94" s="123"/>
      <c r="D94" s="124"/>
      <c r="E94" s="125"/>
      <c r="F94" s="126"/>
      <c r="H94" s="140">
        <f t="shared" si="6"/>
        <v>0</v>
      </c>
    </row>
    <row r="95" spans="1:8" s="14" customFormat="1">
      <c r="A95" s="102" t="s">
        <v>238</v>
      </c>
      <c r="B95" s="82" t="s">
        <v>251</v>
      </c>
      <c r="C95" s="24">
        <f t="shared" si="7"/>
        <v>0</v>
      </c>
      <c r="D95" s="20">
        <f>+'1.1.mell._ÖNK_Mérleg2020'!D95+'1.2.mell._HKÖH_Mérleg2020'!D95+'1.3.mell._HVÓBKI_Mérleg2020'!D95+'1.4.mell._HKK_Mérleg2020'!D95+'1.5._mell._MŐSZ_Mérleg2020'!D95+'1.6._mell._HVGYKCSSZ_Mérleg2020'!D95</f>
        <v>0</v>
      </c>
      <c r="E95" s="13">
        <f>+'1.1.mell._ÖNK_Mérleg2020'!E95+'1.2.mell._HKÖH_Mérleg2020'!E95+'1.3.mell._HVÓBKI_Mérleg2020'!E95+'1.4.mell._HKK_Mérleg2020'!E95+'1.5._mell._MŐSZ_Mérleg2020'!E95+'1.6._mell._HVGYKCSSZ_Mérleg2020'!E95</f>
        <v>0</v>
      </c>
      <c r="F95" s="16">
        <f>+'1.1.mell._ÖNK_Mérleg2020'!F95+'1.2.mell._HKÖH_Mérleg2020'!F95+'1.3.mell._HVÓBKI_Mérleg2020'!F95+'1.4.mell._HKK_Mérleg2020'!F95+'1.5._mell._MŐSZ_Mérleg2020'!F95+'1.6._mell._HVGYKCSSZ_Mérleg2020'!F95</f>
        <v>0</v>
      </c>
      <c r="H95" s="14">
        <f t="shared" si="6"/>
        <v>0</v>
      </c>
    </row>
    <row r="96" spans="1:8" s="14" customFormat="1">
      <c r="A96" s="102" t="s">
        <v>239</v>
      </c>
      <c r="B96" s="82" t="s">
        <v>244</v>
      </c>
      <c r="C96" s="24">
        <f t="shared" si="7"/>
        <v>0</v>
      </c>
      <c r="D96" s="20">
        <f>+'1.1.mell._ÖNK_Mérleg2020'!D96+'1.2.mell._HKÖH_Mérleg2020'!D96+'1.3.mell._HVÓBKI_Mérleg2020'!D96+'1.4.mell._HKK_Mérleg2020'!D96+'1.5._mell._MŐSZ_Mérleg2020'!D96+'1.6._mell._HVGYKCSSZ_Mérleg2020'!D96</f>
        <v>0</v>
      </c>
      <c r="E96" s="13">
        <f>+'1.1.mell._ÖNK_Mérleg2020'!E96+'1.2.mell._HKÖH_Mérleg2020'!E96+'1.3.mell._HVÓBKI_Mérleg2020'!E96+'1.4.mell._HKK_Mérleg2020'!E96+'1.5._mell._MŐSZ_Mérleg2020'!E96+'1.6._mell._HVGYKCSSZ_Mérleg2020'!E96</f>
        <v>0</v>
      </c>
      <c r="F96" s="16">
        <f>+'1.1.mell._ÖNK_Mérleg2020'!F96+'1.2.mell._HKÖH_Mérleg2020'!F96+'1.3.mell._HVÓBKI_Mérleg2020'!F96+'1.4.mell._HKK_Mérleg2020'!F96+'1.5._mell._MŐSZ_Mérleg2020'!F96+'1.6._mell._HVGYKCSSZ_Mérleg2020'!F96</f>
        <v>0</v>
      </c>
      <c r="H96" s="14">
        <f t="shared" si="6"/>
        <v>0</v>
      </c>
    </row>
    <row r="97" spans="1:9" s="14" customFormat="1">
      <c r="A97" s="102" t="s">
        <v>917</v>
      </c>
      <c r="B97" s="82" t="s">
        <v>913</v>
      </c>
      <c r="C97" s="24">
        <f>+D97+E97+F97</f>
        <v>0</v>
      </c>
      <c r="D97" s="20">
        <f>+'1.1.mell._ÖNK_Mérleg2020'!D97+'1.2.mell._HKÖH_Mérleg2020'!D97+'1.3.mell._HVÓBKI_Mérleg2020'!D97+'1.4.mell._HKK_Mérleg2020'!D97+'1.5._mell._MŐSZ_Mérleg2020'!D97+'1.6._mell._HVGYKCSSZ_Mérleg2020'!D97</f>
        <v>0</v>
      </c>
      <c r="E97" s="13">
        <f>+'1.1.mell._ÖNK_Mérleg2020'!E97+'1.2.mell._HKÖH_Mérleg2020'!E97+'1.3.mell._HVÓBKI_Mérleg2020'!E97+'1.4.mell._HKK_Mérleg2020'!E97+'1.5._mell._MŐSZ_Mérleg2020'!E97+'1.6._mell._HVGYKCSSZ_Mérleg2020'!E97</f>
        <v>0</v>
      </c>
      <c r="F97" s="16">
        <f>+'1.1.mell._ÖNK_Mérleg2020'!F97+'1.2.mell._HKÖH_Mérleg2020'!F97+'1.3.mell._HVÓBKI_Mérleg2020'!F97+'1.4.mell._HKK_Mérleg2020'!F97+'1.5._mell._MŐSZ_Mérleg2020'!F97+'1.6._mell._HVGYKCSSZ_Mérleg2020'!F97</f>
        <v>0</v>
      </c>
      <c r="H97" s="14">
        <f t="shared" si="6"/>
        <v>0</v>
      </c>
    </row>
    <row r="98" spans="1:9">
      <c r="A98" s="101" t="s">
        <v>240</v>
      </c>
      <c r="B98" s="83" t="s">
        <v>242</v>
      </c>
      <c r="C98" s="23">
        <f t="shared" si="7"/>
        <v>0</v>
      </c>
      <c r="D98" s="21">
        <f>+'1.1.mell._ÖNK_Mérleg2020'!D98+'1.2.mell._HKÖH_Mérleg2020'!D98+'1.3.mell._HVÓBKI_Mérleg2020'!D98+'1.4.mell._HKK_Mérleg2020'!D98+'1.5._mell._MŐSZ_Mérleg2020'!D98+'1.6._mell._HVGYKCSSZ_Mérleg2020'!D98</f>
        <v>0</v>
      </c>
      <c r="E98" s="12">
        <f>+'1.1.mell._ÖNK_Mérleg2020'!E98+'1.2.mell._HKÖH_Mérleg2020'!E98+'1.3.mell._HVÓBKI_Mérleg2020'!E98+'1.4.mell._HKK_Mérleg2020'!E98+'1.5._mell._MŐSZ_Mérleg2020'!E98+'1.6._mell._HVGYKCSSZ_Mérleg2020'!E98</f>
        <v>0</v>
      </c>
      <c r="F98" s="17">
        <f>+'1.1.mell._ÖNK_Mérleg2020'!F98+'1.2.mell._HKÖH_Mérleg2020'!F98+'1.3.mell._HVÓBKI_Mérleg2020'!F98+'1.4.mell._HKK_Mérleg2020'!F98+'1.5._mell._MŐSZ_Mérleg2020'!F98+'1.6._mell._HVGYKCSSZ_Mérleg2020'!F98</f>
        <v>0</v>
      </c>
      <c r="H98" s="4">
        <f t="shared" si="6"/>
        <v>0</v>
      </c>
    </row>
    <row r="99" spans="1:9">
      <c r="A99" s="94" t="s">
        <v>241</v>
      </c>
      <c r="B99" s="84" t="s">
        <v>243</v>
      </c>
      <c r="C99" s="26">
        <f t="shared" si="7"/>
        <v>0</v>
      </c>
      <c r="D99" s="27">
        <f>+'1.1.mell._ÖNK_Mérleg2020'!D99+'1.2.mell._HKÖH_Mérleg2020'!D99+'1.3.mell._HVÓBKI_Mérleg2020'!D99+'1.4.mell._HKK_Mérleg2020'!D99+'1.5._mell._MŐSZ_Mérleg2020'!D99+'1.6._mell._HVGYKCSSZ_Mérleg2020'!D99</f>
        <v>0</v>
      </c>
      <c r="E99" s="28">
        <f>+'1.1.mell._ÖNK_Mérleg2020'!E99+'1.2.mell._HKÖH_Mérleg2020'!E99+'1.3.mell._HVÓBKI_Mérleg2020'!E99+'1.4.mell._HKK_Mérleg2020'!E99+'1.5._mell._MŐSZ_Mérleg2020'!E99+'1.6._mell._HVGYKCSSZ_Mérleg2020'!E99</f>
        <v>0</v>
      </c>
      <c r="F99" s="29">
        <f>+'1.1.mell._ÖNK_Mérleg2020'!F99+'1.2.mell._HKÖH_Mérleg2020'!F99+'1.3.mell._HVÓBKI_Mérleg2020'!F99+'1.4.mell._HKK_Mérleg2020'!F99+'1.5._mell._MŐSZ_Mérleg2020'!F99+'1.6._mell._HVGYKCSSZ_Mérleg2020'!F99</f>
        <v>0</v>
      </c>
      <c r="H99" s="4">
        <f t="shared" si="6"/>
        <v>0</v>
      </c>
    </row>
    <row r="100" spans="1:9" ht="12.75" thickBot="1">
      <c r="A100" s="94" t="s">
        <v>919</v>
      </c>
      <c r="B100" s="84" t="s">
        <v>915</v>
      </c>
      <c r="C100" s="26">
        <f>+D100+E100+F100</f>
        <v>0</v>
      </c>
      <c r="D100" s="27">
        <f>+'1.1.mell._ÖNK_Mérleg2020'!D100+'1.2.mell._HKÖH_Mérleg2020'!D100+'1.3.mell._HVÓBKI_Mérleg2020'!D100+'1.4.mell._HKK_Mérleg2020'!D100+'1.5._mell._MŐSZ_Mérleg2020'!D100+'1.6._mell._HVGYKCSSZ_Mérleg2020'!D100</f>
        <v>0</v>
      </c>
      <c r="E100" s="28">
        <f>+'1.1.mell._ÖNK_Mérleg2020'!E100+'1.2.mell._HKÖH_Mérleg2020'!E100+'1.3.mell._HVÓBKI_Mérleg2020'!E100+'1.4.mell._HKK_Mérleg2020'!E100+'1.5._mell._MŐSZ_Mérleg2020'!E100+'1.6._mell._HVGYKCSSZ_Mérleg2020'!E100</f>
        <v>0</v>
      </c>
      <c r="F100" s="29">
        <f>+'1.1.mell._ÖNK_Mérleg2020'!F100+'1.2.mell._HKÖH_Mérleg2020'!F100+'1.3.mell._HVÓBKI_Mérleg2020'!F100+'1.4.mell._HKK_Mérleg2020'!F100+'1.5._mell._MŐSZ_Mérleg2020'!F100+'1.6._mell._HVGYKCSSZ_Mérleg2020'!F100</f>
        <v>0</v>
      </c>
      <c r="H100" s="4">
        <f t="shared" si="6"/>
        <v>0</v>
      </c>
    </row>
    <row r="101" spans="1:9" s="3" customFormat="1" ht="12.75" thickBot="1">
      <c r="A101" s="99" t="s">
        <v>43</v>
      </c>
      <c r="B101" s="85" t="s">
        <v>305</v>
      </c>
      <c r="C101" s="44">
        <f>+C71+C86</f>
        <v>2886249</v>
      </c>
      <c r="D101" s="33">
        <f>+D71+D86</f>
        <v>2886249</v>
      </c>
      <c r="E101" s="34">
        <f>+E71+E86</f>
        <v>0</v>
      </c>
      <c r="F101" s="35">
        <f>+F71+F86</f>
        <v>0</v>
      </c>
      <c r="G101" s="776">
        <f>+C101/$C$102</f>
        <v>0.63389824329138311</v>
      </c>
      <c r="H101" s="3">
        <f t="shared" si="6"/>
        <v>0</v>
      </c>
    </row>
    <row r="102" spans="1:9" s="3" customFormat="1" ht="12.75" thickBot="1">
      <c r="A102" s="103" t="s">
        <v>40</v>
      </c>
      <c r="B102" s="87" t="s">
        <v>306</v>
      </c>
      <c r="C102" s="45">
        <f>+C70+C101</f>
        <v>4553174</v>
      </c>
      <c r="D102" s="30">
        <f>+D70+D101</f>
        <v>4499130</v>
      </c>
      <c r="E102" s="31">
        <f>+E70+E101</f>
        <v>54044</v>
      </c>
      <c r="F102" s="32">
        <f>+F70+F101</f>
        <v>0</v>
      </c>
      <c r="G102" s="776">
        <f>+C102/$C$102</f>
        <v>1</v>
      </c>
      <c r="H102" s="3">
        <f t="shared" si="6"/>
        <v>0</v>
      </c>
    </row>
    <row r="103" spans="1:9" s="3" customFormat="1" ht="15.75">
      <c r="A103" s="66"/>
      <c r="B103" s="37"/>
      <c r="D103" s="37"/>
      <c r="E103" s="37"/>
      <c r="F103" s="37"/>
      <c r="H103" s="3">
        <f>+C102-C208</f>
        <v>0</v>
      </c>
      <c r="I103" s="65"/>
    </row>
    <row r="104" spans="1:9" s="3" customFormat="1">
      <c r="A104" s="66"/>
      <c r="B104" s="37"/>
      <c r="C104" s="37"/>
      <c r="D104" s="37"/>
      <c r="E104" s="37"/>
      <c r="F104" s="37"/>
      <c r="I104" s="46"/>
    </row>
    <row r="105" spans="1:9" s="65" customFormat="1" ht="15.75">
      <c r="A105" s="1210" t="s">
        <v>80</v>
      </c>
      <c r="B105" s="1210"/>
      <c r="C105" s="1210"/>
      <c r="D105" s="1210"/>
      <c r="E105" s="1210"/>
      <c r="F105" s="1210"/>
      <c r="I105" s="3"/>
    </row>
    <row r="106" spans="1:9" s="46" customFormat="1" ht="12.75" thickBot="1">
      <c r="A106" s="48" t="s">
        <v>278</v>
      </c>
      <c r="F106" s="47" t="s">
        <v>280</v>
      </c>
      <c r="I106" s="3"/>
    </row>
    <row r="107" spans="1:9" s="3" customFormat="1" ht="48.75" thickBot="1">
      <c r="A107" s="95" t="s">
        <v>17</v>
      </c>
      <c r="B107" s="96" t="s">
        <v>328</v>
      </c>
      <c r="C107" s="49" t="s">
        <v>1442</v>
      </c>
      <c r="D107" s="6" t="s">
        <v>51</v>
      </c>
      <c r="E107" s="7" t="s">
        <v>52</v>
      </c>
      <c r="F107" s="8" t="s">
        <v>53</v>
      </c>
    </row>
    <row r="108" spans="1:9" s="3" customFormat="1" ht="12.75" thickBot="1">
      <c r="A108" s="97" t="s">
        <v>252</v>
      </c>
      <c r="B108" s="98" t="s">
        <v>253</v>
      </c>
      <c r="C108" s="1215" t="s">
        <v>254</v>
      </c>
      <c r="D108" s="1216"/>
      <c r="E108" s="1216"/>
      <c r="F108" s="1217"/>
    </row>
    <row r="109" spans="1:9" s="3" customFormat="1" ht="12.75" thickBot="1">
      <c r="A109" s="99" t="s">
        <v>4</v>
      </c>
      <c r="B109" s="85" t="s">
        <v>307</v>
      </c>
      <c r="C109" s="44">
        <f>+C110+C114+C116+C123+C132</f>
        <v>4018748</v>
      </c>
      <c r="D109" s="33">
        <f>+D110+D114+D116+D123+D132</f>
        <v>3952283</v>
      </c>
      <c r="E109" s="34">
        <f>+E110+E114+E116+E123+E132</f>
        <v>66465</v>
      </c>
      <c r="F109" s="35">
        <f>+F110+F114+F116+F123+F132</f>
        <v>0</v>
      </c>
      <c r="G109" s="776">
        <f>+C109/$C$208</f>
        <v>0.88262561457128585</v>
      </c>
      <c r="H109" s="3">
        <f t="shared" si="6"/>
        <v>0</v>
      </c>
      <c r="I109" s="46"/>
    </row>
    <row r="110" spans="1:9" s="3" customFormat="1" ht="12.75" thickBot="1">
      <c r="A110" s="99" t="s">
        <v>5</v>
      </c>
      <c r="B110" s="80" t="s">
        <v>308</v>
      </c>
      <c r="C110" s="44">
        <f>+C112+C113</f>
        <v>715534</v>
      </c>
      <c r="D110" s="33">
        <f>+D112+D113</f>
        <v>691550</v>
      </c>
      <c r="E110" s="34">
        <f>+E112+E113</f>
        <v>23984</v>
      </c>
      <c r="F110" s="35">
        <f>+F112+F113</f>
        <v>0</v>
      </c>
      <c r="G110" s="776">
        <f>+C110/$C$208</f>
        <v>0.15715059428873132</v>
      </c>
      <c r="H110" s="3">
        <f t="shared" si="6"/>
        <v>0</v>
      </c>
      <c r="I110" s="4"/>
    </row>
    <row r="111" spans="1:9" s="46" customFormat="1">
      <c r="A111" s="895" t="s">
        <v>348</v>
      </c>
      <c r="B111" s="896" t="s">
        <v>349</v>
      </c>
      <c r="C111" s="112">
        <f>+D111+E111+F111</f>
        <v>0</v>
      </c>
      <c r="D111" s="113">
        <f>+'1.1.mell._ÖNK_Mérleg2020'!D111+'1.2.mell._HKÖH_Mérleg2020'!D111+'1.3.mell._HVÓBKI_Mérleg2020'!D111+'1.4.mell._HKK_Mérleg2020'!D111+'1.5._mell._MŐSZ_Mérleg2020'!D111+'1.6._mell._HVGYKCSSZ_Mérleg2020'!D111</f>
        <v>0</v>
      </c>
      <c r="E111" s="114">
        <f>+'1.1.mell._ÖNK_Mérleg2020'!E111+'1.2.mell._HKÖH_Mérleg2020'!E111+'1.3.mell._HVÓBKI_Mérleg2020'!E111+'1.4.mell._HKK_Mérleg2020'!E111+'1.5._mell._MŐSZ_Mérleg2020'!E111+'1.6._mell._HVGYKCSSZ_Mérleg2020'!E111</f>
        <v>0</v>
      </c>
      <c r="F111" s="115">
        <f>+'1.1.mell._ÖNK_Mérleg2020'!F111+'1.2.mell._HKÖH_Mérleg2020'!F111+'1.3.mell._HVÓBKI_Mérleg2020'!F111+'1.4.mell._HKK_Mérleg2020'!F111+'1.5._mell._MŐSZ_Mérleg2020'!F111+'1.6._mell._HVGYKCSSZ_Mérleg2020'!F111</f>
        <v>0</v>
      </c>
      <c r="H111" s="46">
        <f t="shared" si="6"/>
        <v>0</v>
      </c>
      <c r="I111" s="4"/>
    </row>
    <row r="112" spans="1:9">
      <c r="A112" s="100" t="s">
        <v>54</v>
      </c>
      <c r="B112" s="81" t="s">
        <v>126</v>
      </c>
      <c r="C112" s="36">
        <f>+D112+E112+F112</f>
        <v>670542</v>
      </c>
      <c r="D112" s="41">
        <f>+'1.1.mell._ÖNK_Mérleg2020'!D112+'1.2.mell._HKÖH_Mérleg2020'!D112+'1.3.mell._HVÓBKI_Mérleg2020'!D112+'1.4.mell._HKK_Mérleg2020'!D112+'1.5._mell._MŐSZ_Mérleg2020'!D112+'1.6._mell._HVGYKCSSZ_Mérleg2020'!D112</f>
        <v>646558</v>
      </c>
      <c r="E112" s="11">
        <f>+'1.1.mell._ÖNK_Mérleg2020'!E112+'1.2.mell._HKÖH_Mérleg2020'!E112+'1.3.mell._HVÓBKI_Mérleg2020'!E112+'1.4.mell._HKK_Mérleg2020'!E112+'1.5._mell._MŐSZ_Mérleg2020'!E112+'1.6._mell._HVGYKCSSZ_Mérleg2020'!E112</f>
        <v>23984</v>
      </c>
      <c r="F112" s="42">
        <f>+'1.1.mell._ÖNK_Mérleg2020'!F112+'1.2.mell._HKÖH_Mérleg2020'!F112+'1.3.mell._HVÓBKI_Mérleg2020'!F112+'1.4.mell._HKK_Mérleg2020'!F112+'1.5._mell._MŐSZ_Mérleg2020'!F112+'1.6._mell._HVGYKCSSZ_Mérleg2020'!F112</f>
        <v>0</v>
      </c>
      <c r="H112" s="4">
        <f t="shared" si="6"/>
        <v>0</v>
      </c>
      <c r="I112" s="3"/>
    </row>
    <row r="113" spans="1:9" ht="12.75" thickBot="1">
      <c r="A113" s="94" t="s">
        <v>55</v>
      </c>
      <c r="B113" s="84" t="s">
        <v>127</v>
      </c>
      <c r="C113" s="26">
        <f>+D113+E113+F113</f>
        <v>44991.999999999993</v>
      </c>
      <c r="D113" s="27">
        <f>+'1.1.mell._ÖNK_Mérleg2020'!D113+'1.2.mell._HKÖH_Mérleg2020'!D113+'1.3.mell._HVÓBKI_Mérleg2020'!D113+'1.4.mell._HKK_Mérleg2020'!D113+'1.5._mell._MŐSZ_Mérleg2020'!D113+'1.6._mell._HVGYKCSSZ_Mérleg2020'!D113</f>
        <v>44991.999999999993</v>
      </c>
      <c r="E113" s="28">
        <f>+'1.1.mell._ÖNK_Mérleg2020'!E113+'1.2.mell._HKÖH_Mérleg2020'!E113+'1.3.mell._HVÓBKI_Mérleg2020'!E113+'1.4.mell._HKK_Mérleg2020'!E113+'1.5._mell._MŐSZ_Mérleg2020'!E113+'1.6._mell._HVGYKCSSZ_Mérleg2020'!E113</f>
        <v>0</v>
      </c>
      <c r="F113" s="29">
        <f>+'1.1.mell._ÖNK_Mérleg2020'!F113+'1.2.mell._HKÖH_Mérleg2020'!F113+'1.3.mell._HVÓBKI_Mérleg2020'!F113+'1.4.mell._HKK_Mérleg2020'!F113+'1.5._mell._MŐSZ_Mérleg2020'!F113+'1.6._mell._HVGYKCSSZ_Mérleg2020'!F113</f>
        <v>0</v>
      </c>
      <c r="H113" s="4">
        <f t="shared" si="6"/>
        <v>0</v>
      </c>
      <c r="I113" s="46"/>
    </row>
    <row r="114" spans="1:9" s="3" customFormat="1" ht="12.75" thickBot="1">
      <c r="A114" s="99" t="s">
        <v>6</v>
      </c>
      <c r="B114" s="80" t="s">
        <v>255</v>
      </c>
      <c r="C114" s="44">
        <f>+D114+E114+F114</f>
        <v>130817</v>
      </c>
      <c r="D114" s="33">
        <f>+'1.1.mell._ÖNK_Mérleg2020'!D114+'1.2.mell._HKÖH_Mérleg2020'!D114+'1.3.mell._HVÓBKI_Mérleg2020'!D114+'1.4.mell._HKK_Mérleg2020'!D114+'1.5._mell._MŐSZ_Mérleg2020'!D114+'1.6._mell._HVGYKCSSZ_Mérleg2020'!D114</f>
        <v>126939</v>
      </c>
      <c r="E114" s="34">
        <f>+'1.1.mell._ÖNK_Mérleg2020'!E114+'1.2.mell._HKÖH_Mérleg2020'!E114+'1.3.mell._HVÓBKI_Mérleg2020'!E114+'1.4.mell._HKK_Mérleg2020'!E114+'1.5._mell._MŐSZ_Mérleg2020'!E114+'1.6._mell._HVGYKCSSZ_Mérleg2020'!E114</f>
        <v>3878</v>
      </c>
      <c r="F114" s="35">
        <f>+'1.1.mell._ÖNK_Mérleg2020'!F114+'1.2.mell._HKÖH_Mérleg2020'!F114+'1.3.mell._HVÓBKI_Mérleg2020'!F114+'1.4.mell._HKK_Mérleg2020'!F114+'1.5._mell._MŐSZ_Mérleg2020'!F114+'1.6._mell._HVGYKCSSZ_Mérleg2020'!F114</f>
        <v>0</v>
      </c>
      <c r="G114" s="776">
        <f>+C114/$C$208</f>
        <v>2.8730946807655495E-2</v>
      </c>
      <c r="H114" s="3">
        <f t="shared" si="6"/>
        <v>0</v>
      </c>
    </row>
    <row r="115" spans="1:9" s="46" customFormat="1" ht="12.75" thickBot="1">
      <c r="A115" s="895" t="s">
        <v>345</v>
      </c>
      <c r="B115" s="896" t="s">
        <v>346</v>
      </c>
      <c r="C115" s="112">
        <f>+D115+E115+F115</f>
        <v>0</v>
      </c>
      <c r="D115" s="113">
        <f>+'1.1.mell._ÖNK_Mérleg2020'!D115+'1.2.mell._HKÖH_Mérleg2020'!D115+'1.3.mell._HVÓBKI_Mérleg2020'!D115+'1.4.mell._HKK_Mérleg2020'!D115+'1.5._mell._MŐSZ_Mérleg2020'!D115+'1.6._mell._HVGYKCSSZ_Mérleg2020'!D115</f>
        <v>0</v>
      </c>
      <c r="E115" s="114">
        <f>+'1.1.mell._ÖNK_Mérleg2020'!E115+'1.2.mell._HKÖH_Mérleg2020'!E115+'1.3.mell._HVÓBKI_Mérleg2020'!E115+'1.4.mell._HKK_Mérleg2020'!E115+'1.5._mell._MŐSZ_Mérleg2020'!E115+'1.6._mell._HVGYKCSSZ_Mérleg2020'!E115</f>
        <v>0</v>
      </c>
      <c r="F115" s="115">
        <f>+'1.1.mell._ÖNK_Mérleg2020'!F115+'1.2.mell._HKÖH_Mérleg2020'!F115+'1.3.mell._HVÓBKI_Mérleg2020'!F115+'1.4.mell._HKK_Mérleg2020'!F115+'1.5._mell._MŐSZ_Mérleg2020'!F115+'1.6._mell._HVGYKCSSZ_Mérleg2020'!F115</f>
        <v>0</v>
      </c>
      <c r="H115" s="46">
        <f t="shared" si="6"/>
        <v>0</v>
      </c>
    </row>
    <row r="116" spans="1:9" s="3" customFormat="1" ht="12.75" thickBot="1">
      <c r="A116" s="99" t="s">
        <v>3</v>
      </c>
      <c r="B116" s="80" t="s">
        <v>342</v>
      </c>
      <c r="C116" s="44">
        <f>+C118+C119+C120+C121+C122</f>
        <v>401997</v>
      </c>
      <c r="D116" s="33">
        <f>+D118+D119+D120+D121+D122</f>
        <v>375832</v>
      </c>
      <c r="E116" s="34">
        <f>+E118+E119+E120+E121+E122</f>
        <v>26165</v>
      </c>
      <c r="F116" s="35">
        <f>+F118+F119+F120+F121+F122</f>
        <v>0</v>
      </c>
      <c r="G116" s="776">
        <f>+C116/$C$208</f>
        <v>8.8289399877975239E-2</v>
      </c>
      <c r="H116" s="3">
        <f t="shared" si="6"/>
        <v>0</v>
      </c>
      <c r="I116" s="4"/>
    </row>
    <row r="117" spans="1:9" s="46" customFormat="1">
      <c r="A117" s="895" t="s">
        <v>340</v>
      </c>
      <c r="B117" s="896" t="s">
        <v>347</v>
      </c>
      <c r="C117" s="112">
        <f t="shared" ref="C117:C122" si="8">+D117+E117+F117</f>
        <v>0</v>
      </c>
      <c r="D117" s="113">
        <f>+'1.1.mell._ÖNK_Mérleg2020'!D117+'1.2.mell._HKÖH_Mérleg2020'!D117+'1.3.mell._HVÓBKI_Mérleg2020'!D117+'1.4.mell._HKK_Mérleg2020'!D117+'1.5._mell._MŐSZ_Mérleg2020'!D117+'1.6._mell._HVGYKCSSZ_Mérleg2020'!D117</f>
        <v>0</v>
      </c>
      <c r="E117" s="114">
        <f>+'1.1.mell._ÖNK_Mérleg2020'!E117+'1.2.mell._HKÖH_Mérleg2020'!E117+'1.3.mell._HVÓBKI_Mérleg2020'!E117+'1.4.mell._HKK_Mérleg2020'!E117+'1.5._mell._MŐSZ_Mérleg2020'!E117+'1.6._mell._HVGYKCSSZ_Mérleg2020'!E117</f>
        <v>0</v>
      </c>
      <c r="F117" s="115">
        <f>+'1.1.mell._ÖNK_Mérleg2020'!F117+'1.2.mell._HKÖH_Mérleg2020'!F117+'1.3.mell._HVÓBKI_Mérleg2020'!F117+'1.4.mell._HKK_Mérleg2020'!F117+'1.5._mell._MŐSZ_Mérleg2020'!F117+'1.6._mell._HVGYKCSSZ_Mérleg2020'!F117</f>
        <v>0</v>
      </c>
      <c r="H117" s="46">
        <f t="shared" si="6"/>
        <v>0</v>
      </c>
      <c r="I117" s="4"/>
    </row>
    <row r="118" spans="1:9">
      <c r="A118" s="100" t="s">
        <v>61</v>
      </c>
      <c r="B118" s="81" t="s">
        <v>128</v>
      </c>
      <c r="C118" s="36">
        <f t="shared" si="8"/>
        <v>37355</v>
      </c>
      <c r="D118" s="41">
        <f>+'1.1.mell._ÖNK_Mérleg2020'!D118+'1.2.mell._HKÖH_Mérleg2020'!D118+'1.3.mell._HVÓBKI_Mérleg2020'!D118+'1.4.mell._HKK_Mérleg2020'!D118+'1.5._mell._MŐSZ_Mérleg2020'!D118+'1.6._mell._HVGYKCSSZ_Mérleg2020'!D118</f>
        <v>24567</v>
      </c>
      <c r="E118" s="11">
        <f>+'1.1.mell._ÖNK_Mérleg2020'!E118+'1.2.mell._HKÖH_Mérleg2020'!E118+'1.3.mell._HVÓBKI_Mérleg2020'!E118+'1.4.mell._HKK_Mérleg2020'!E118+'1.5._mell._MŐSZ_Mérleg2020'!E118+'1.6._mell._HVGYKCSSZ_Mérleg2020'!E118</f>
        <v>12788</v>
      </c>
      <c r="F118" s="42">
        <f>+'1.1.mell._ÖNK_Mérleg2020'!F118+'1.2.mell._HKÖH_Mérleg2020'!F118+'1.3.mell._HVÓBKI_Mérleg2020'!F118+'1.4.mell._HKK_Mérleg2020'!F118+'1.5._mell._MŐSZ_Mérleg2020'!F118+'1.6._mell._HVGYKCSSZ_Mérleg2020'!F118</f>
        <v>0</v>
      </c>
      <c r="H118" s="4">
        <f t="shared" si="6"/>
        <v>0</v>
      </c>
    </row>
    <row r="119" spans="1:9">
      <c r="A119" s="101" t="s">
        <v>62</v>
      </c>
      <c r="B119" s="83" t="s">
        <v>129</v>
      </c>
      <c r="C119" s="23">
        <f t="shared" si="8"/>
        <v>27387</v>
      </c>
      <c r="D119" s="21">
        <f>+'1.1.mell._ÖNK_Mérleg2020'!D119+'1.2.mell._HKÖH_Mérleg2020'!D119+'1.3.mell._HVÓBKI_Mérleg2020'!D119+'1.4.mell._HKK_Mérleg2020'!D119+'1.5._mell._MŐSZ_Mérleg2020'!D119+'1.6._mell._HVGYKCSSZ_Mérleg2020'!D119</f>
        <v>27233</v>
      </c>
      <c r="E119" s="12">
        <f>+'1.1.mell._ÖNK_Mérleg2020'!E119+'1.2.mell._HKÖH_Mérleg2020'!E119+'1.3.mell._HVÓBKI_Mérleg2020'!E119+'1.4.mell._HKK_Mérleg2020'!E119+'1.5._mell._MŐSZ_Mérleg2020'!E119+'1.6._mell._HVGYKCSSZ_Mérleg2020'!E119</f>
        <v>154</v>
      </c>
      <c r="F119" s="17">
        <f>+'1.1.mell._ÖNK_Mérleg2020'!F119+'1.2.mell._HKÖH_Mérleg2020'!F119+'1.3.mell._HVÓBKI_Mérleg2020'!F119+'1.4.mell._HKK_Mérleg2020'!F119+'1.5._mell._MŐSZ_Mérleg2020'!F119+'1.6._mell._HVGYKCSSZ_Mérleg2020'!F119</f>
        <v>0</v>
      </c>
      <c r="H119" s="4">
        <f t="shared" si="6"/>
        <v>0</v>
      </c>
    </row>
    <row r="120" spans="1:9">
      <c r="A120" s="101" t="s">
        <v>63</v>
      </c>
      <c r="B120" s="83" t="s">
        <v>130</v>
      </c>
      <c r="C120" s="23">
        <f t="shared" si="8"/>
        <v>225919</v>
      </c>
      <c r="D120" s="21">
        <f>+'1.1.mell._ÖNK_Mérleg2020'!D120+'1.2.mell._HKÖH_Mérleg2020'!D120+'1.3.mell._HVÓBKI_Mérleg2020'!D120+'1.4.mell._HKK_Mérleg2020'!D120+'1.5._mell._MŐSZ_Mérleg2020'!D120+'1.6._mell._HVGYKCSSZ_Mérleg2020'!D120</f>
        <v>220242</v>
      </c>
      <c r="E120" s="12">
        <f>+'1.1.mell._ÖNK_Mérleg2020'!E120+'1.2.mell._HKÖH_Mérleg2020'!E120+'1.3.mell._HVÓBKI_Mérleg2020'!E120+'1.4.mell._HKK_Mérleg2020'!E120+'1.5._mell._MŐSZ_Mérleg2020'!E120+'1.6._mell._HVGYKCSSZ_Mérleg2020'!E120</f>
        <v>5677</v>
      </c>
      <c r="F120" s="17">
        <f>+'1.1.mell._ÖNK_Mérleg2020'!F120+'1.2.mell._HKÖH_Mérleg2020'!F120+'1.3.mell._HVÓBKI_Mérleg2020'!F120+'1.4.mell._HKK_Mérleg2020'!F120+'1.5._mell._MŐSZ_Mérleg2020'!F120+'1.6._mell._HVGYKCSSZ_Mérleg2020'!F120</f>
        <v>0</v>
      </c>
      <c r="H120" s="4">
        <f t="shared" si="6"/>
        <v>0</v>
      </c>
    </row>
    <row r="121" spans="1:9">
      <c r="A121" s="101" t="s">
        <v>64</v>
      </c>
      <c r="B121" s="83" t="s">
        <v>131</v>
      </c>
      <c r="C121" s="23">
        <f t="shared" si="8"/>
        <v>2380</v>
      </c>
      <c r="D121" s="21">
        <f>+'1.1.mell._ÖNK_Mérleg2020'!D121+'1.2.mell._HKÖH_Mérleg2020'!D121+'1.3.mell._HVÓBKI_Mérleg2020'!D121+'1.4.mell._HKK_Mérleg2020'!D121+'1.5._mell._MŐSZ_Mérleg2020'!D121+'1.6._mell._HVGYKCSSZ_Mérleg2020'!D121</f>
        <v>2380</v>
      </c>
      <c r="E121" s="12">
        <f>+'1.1.mell._ÖNK_Mérleg2020'!E121+'1.2.mell._HKÖH_Mérleg2020'!E121+'1.3.mell._HVÓBKI_Mérleg2020'!E121+'1.4.mell._HKK_Mérleg2020'!E121+'1.5._mell._MŐSZ_Mérleg2020'!E121+'1.6._mell._HVGYKCSSZ_Mérleg2020'!E121</f>
        <v>0</v>
      </c>
      <c r="F121" s="17">
        <f>+'1.1.mell._ÖNK_Mérleg2020'!F121+'1.2.mell._HKÖH_Mérleg2020'!F121+'1.3.mell._HVÓBKI_Mérleg2020'!F121+'1.4.mell._HKK_Mérleg2020'!F121+'1.5._mell._MŐSZ_Mérleg2020'!F121+'1.6._mell._HVGYKCSSZ_Mérleg2020'!F121</f>
        <v>0</v>
      </c>
      <c r="H121" s="4">
        <f t="shared" si="6"/>
        <v>0</v>
      </c>
      <c r="I121" s="3"/>
    </row>
    <row r="122" spans="1:9" ht="12.75" thickBot="1">
      <c r="A122" s="94" t="s">
        <v>65</v>
      </c>
      <c r="B122" s="84" t="s">
        <v>132</v>
      </c>
      <c r="C122" s="26">
        <f t="shared" si="8"/>
        <v>108956</v>
      </c>
      <c r="D122" s="27">
        <f>+'1.1.mell._ÖNK_Mérleg2020'!D122+'1.2.mell._HKÖH_Mérleg2020'!D122+'1.3.mell._HVÓBKI_Mérleg2020'!D122+'1.4.mell._HKK_Mérleg2020'!D122+'1.5._mell._MŐSZ_Mérleg2020'!D122+'1.6._mell._HVGYKCSSZ_Mérleg2020'!D122</f>
        <v>101410</v>
      </c>
      <c r="E122" s="28">
        <f>+'1.1.mell._ÖNK_Mérleg2020'!E122+'1.2.mell._HKÖH_Mérleg2020'!E122+'1.3.mell._HVÓBKI_Mérleg2020'!E122+'1.4.mell._HKK_Mérleg2020'!E122+'1.5._mell._MŐSZ_Mérleg2020'!E122+'1.6._mell._HVGYKCSSZ_Mérleg2020'!E122</f>
        <v>7546</v>
      </c>
      <c r="F122" s="29">
        <f>+'1.1.mell._ÖNK_Mérleg2020'!F122+'1.2.mell._HKÖH_Mérleg2020'!F122+'1.3.mell._HVÓBKI_Mérleg2020'!F122+'1.4.mell._HKK_Mérleg2020'!F122+'1.5._mell._MŐSZ_Mérleg2020'!F122+'1.6._mell._HVGYKCSSZ_Mérleg2020'!F122</f>
        <v>0</v>
      </c>
      <c r="H122" s="4">
        <f t="shared" si="6"/>
        <v>0</v>
      </c>
    </row>
    <row r="123" spans="1:9" s="3" customFormat="1" ht="12.75" thickBot="1">
      <c r="A123" s="99" t="s">
        <v>16</v>
      </c>
      <c r="B123" s="80" t="s">
        <v>309</v>
      </c>
      <c r="C123" s="44">
        <f>+C124+C125+C126+C127+C128+C129+C130+C131</f>
        <v>52779</v>
      </c>
      <c r="D123" s="33">
        <f>+D124+D125+D126+D127+D128+D129+D130+D131</f>
        <v>49355</v>
      </c>
      <c r="E123" s="34">
        <f>+E124+E125+E126+E127+E128+E129+E130+E131</f>
        <v>3424</v>
      </c>
      <c r="F123" s="35">
        <f>+F124+F125+F126+F127+F128+F129+F130+F131</f>
        <v>0</v>
      </c>
      <c r="G123" s="776">
        <f>+C123/$C$208</f>
        <v>1.1591694057815493E-2</v>
      </c>
      <c r="H123" s="3">
        <f t="shared" si="6"/>
        <v>0</v>
      </c>
      <c r="I123" s="4"/>
    </row>
    <row r="124" spans="1:9">
      <c r="A124" s="100" t="s">
        <v>226</v>
      </c>
      <c r="B124" s="81" t="s">
        <v>133</v>
      </c>
      <c r="C124" s="36">
        <f t="shared" ref="C124:C131" si="9">+D124+E124+F124</f>
        <v>0</v>
      </c>
      <c r="D124" s="41">
        <f>+'1.1.mell._ÖNK_Mérleg2020'!D124+'1.2.mell._HKÖH_Mérleg2020'!D124+'1.3.mell._HVÓBKI_Mérleg2020'!D124+'1.4.mell._HKK_Mérleg2020'!D124+'1.5._mell._MŐSZ_Mérleg2020'!D124+'1.6._mell._HVGYKCSSZ_Mérleg2020'!D124</f>
        <v>0</v>
      </c>
      <c r="E124" s="11">
        <f>+'1.1.mell._ÖNK_Mérleg2020'!E124+'1.2.mell._HKÖH_Mérleg2020'!E124+'1.3.mell._HVÓBKI_Mérleg2020'!E124+'1.4.mell._HKK_Mérleg2020'!E124+'1.5._mell._MŐSZ_Mérleg2020'!E124+'1.6._mell._HVGYKCSSZ_Mérleg2020'!E124</f>
        <v>0</v>
      </c>
      <c r="F124" s="42">
        <f>+'1.1.mell._ÖNK_Mérleg2020'!F124+'1.2.mell._HKÖH_Mérleg2020'!F124+'1.3.mell._HVÓBKI_Mérleg2020'!F124+'1.4.mell._HKK_Mérleg2020'!F124+'1.5._mell._MŐSZ_Mérleg2020'!F124+'1.6._mell._HVGYKCSSZ_Mérleg2020'!F124</f>
        <v>0</v>
      </c>
      <c r="H124" s="4">
        <f t="shared" si="6"/>
        <v>0</v>
      </c>
    </row>
    <row r="125" spans="1:9">
      <c r="A125" s="101" t="s">
        <v>227</v>
      </c>
      <c r="B125" s="83" t="s">
        <v>134</v>
      </c>
      <c r="C125" s="23">
        <f t="shared" si="9"/>
        <v>0</v>
      </c>
      <c r="D125" s="21">
        <f>+'1.1.mell._ÖNK_Mérleg2020'!D125+'1.2.mell._HKÖH_Mérleg2020'!D125+'1.3.mell._HVÓBKI_Mérleg2020'!D125+'1.4.mell._HKK_Mérleg2020'!D125+'1.5._mell._MŐSZ_Mérleg2020'!D125+'1.6._mell._HVGYKCSSZ_Mérleg2020'!D125</f>
        <v>0</v>
      </c>
      <c r="E125" s="12">
        <f>+'1.1.mell._ÖNK_Mérleg2020'!E125+'1.2.mell._HKÖH_Mérleg2020'!E125+'1.3.mell._HVÓBKI_Mérleg2020'!E125+'1.4.mell._HKK_Mérleg2020'!E125+'1.5._mell._MŐSZ_Mérleg2020'!E125+'1.6._mell._HVGYKCSSZ_Mérleg2020'!E125</f>
        <v>0</v>
      </c>
      <c r="F125" s="17">
        <f>+'1.1.mell._ÖNK_Mérleg2020'!F125+'1.2.mell._HKÖH_Mérleg2020'!F125+'1.3.mell._HVÓBKI_Mérleg2020'!F125+'1.4.mell._HKK_Mérleg2020'!F125+'1.5._mell._MŐSZ_Mérleg2020'!F125+'1.6._mell._HVGYKCSSZ_Mérleg2020'!F125</f>
        <v>0</v>
      </c>
      <c r="H125" s="4">
        <f t="shared" si="6"/>
        <v>0</v>
      </c>
    </row>
    <row r="126" spans="1:9">
      <c r="A126" s="101" t="s">
        <v>228</v>
      </c>
      <c r="B126" s="83" t="s">
        <v>135</v>
      </c>
      <c r="C126" s="23">
        <f t="shared" si="9"/>
        <v>0</v>
      </c>
      <c r="D126" s="21">
        <f>+'1.1.mell._ÖNK_Mérleg2020'!D126+'1.2.mell._HKÖH_Mérleg2020'!D126+'1.3.mell._HVÓBKI_Mérleg2020'!D126+'1.4.mell._HKK_Mérleg2020'!D126+'1.5._mell._MŐSZ_Mérleg2020'!D126+'1.6._mell._HVGYKCSSZ_Mérleg2020'!D126</f>
        <v>0</v>
      </c>
      <c r="E126" s="12">
        <f>+'1.1.mell._ÖNK_Mérleg2020'!E126+'1.2.mell._HKÖH_Mérleg2020'!E126+'1.3.mell._HVÓBKI_Mérleg2020'!E126+'1.4.mell._HKK_Mérleg2020'!E126+'1.5._mell._MŐSZ_Mérleg2020'!E126+'1.6._mell._HVGYKCSSZ_Mérleg2020'!E126</f>
        <v>0</v>
      </c>
      <c r="F126" s="17">
        <f>+'1.1.mell._ÖNK_Mérleg2020'!F126+'1.2.mell._HKÖH_Mérleg2020'!F126+'1.3.mell._HVÓBKI_Mérleg2020'!F126+'1.4.mell._HKK_Mérleg2020'!F126+'1.5._mell._MŐSZ_Mérleg2020'!F126+'1.6._mell._HVGYKCSSZ_Mérleg2020'!F126</f>
        <v>0</v>
      </c>
      <c r="H126" s="4">
        <f t="shared" si="6"/>
        <v>0</v>
      </c>
    </row>
    <row r="127" spans="1:9">
      <c r="A127" s="101" t="s">
        <v>256</v>
      </c>
      <c r="B127" s="83" t="s">
        <v>136</v>
      </c>
      <c r="C127" s="23">
        <f t="shared" si="9"/>
        <v>2400</v>
      </c>
      <c r="D127" s="21">
        <f>+'1.1.mell._ÖNK_Mérleg2020'!D127+'1.2.mell._HKÖH_Mérleg2020'!D127+'1.3.mell._HVÓBKI_Mérleg2020'!D127+'1.4.mell._HKK_Mérleg2020'!D127+'1.5._mell._MŐSZ_Mérleg2020'!D127+'1.6._mell._HVGYKCSSZ_Mérleg2020'!D127</f>
        <v>2400</v>
      </c>
      <c r="E127" s="12">
        <f>+'1.1.mell._ÖNK_Mérleg2020'!E127+'1.2.mell._HKÖH_Mérleg2020'!E127+'1.3.mell._HVÓBKI_Mérleg2020'!E127+'1.4.mell._HKK_Mérleg2020'!E127+'1.5._mell._MŐSZ_Mérleg2020'!E127+'1.6._mell._HVGYKCSSZ_Mérleg2020'!E127</f>
        <v>0</v>
      </c>
      <c r="F127" s="17">
        <f>+'1.1.mell._ÖNK_Mérleg2020'!F127+'1.2.mell._HKÖH_Mérleg2020'!F127+'1.3.mell._HVÓBKI_Mérleg2020'!F127+'1.4.mell._HKK_Mérleg2020'!F127+'1.5._mell._MŐSZ_Mérleg2020'!F127+'1.6._mell._HVGYKCSSZ_Mérleg2020'!F127</f>
        <v>0</v>
      </c>
      <c r="H127" s="4">
        <f t="shared" si="6"/>
        <v>0</v>
      </c>
    </row>
    <row r="128" spans="1:9">
      <c r="A128" s="101" t="s">
        <v>257</v>
      </c>
      <c r="B128" s="83" t="s">
        <v>137</v>
      </c>
      <c r="C128" s="23">
        <f t="shared" si="9"/>
        <v>0</v>
      </c>
      <c r="D128" s="21">
        <f>+'1.1.mell._ÖNK_Mérleg2020'!D128+'1.2.mell._HKÖH_Mérleg2020'!D128+'1.3.mell._HVÓBKI_Mérleg2020'!D128+'1.4.mell._HKK_Mérleg2020'!D128+'1.5._mell._MŐSZ_Mérleg2020'!D128+'1.6._mell._HVGYKCSSZ_Mérleg2020'!D128</f>
        <v>0</v>
      </c>
      <c r="E128" s="12">
        <f>+'1.1.mell._ÖNK_Mérleg2020'!E128+'1.2.mell._HKÖH_Mérleg2020'!E128+'1.3.mell._HVÓBKI_Mérleg2020'!E128+'1.4.mell._HKK_Mérleg2020'!E128+'1.5._mell._MŐSZ_Mérleg2020'!E128+'1.6._mell._HVGYKCSSZ_Mérleg2020'!E128</f>
        <v>0</v>
      </c>
      <c r="F128" s="17">
        <f>+'1.1.mell._ÖNK_Mérleg2020'!F128+'1.2.mell._HKÖH_Mérleg2020'!F128+'1.3.mell._HVÓBKI_Mérleg2020'!F128+'1.4.mell._HKK_Mérleg2020'!F128+'1.5._mell._MŐSZ_Mérleg2020'!F128+'1.6._mell._HVGYKCSSZ_Mérleg2020'!F128</f>
        <v>0</v>
      </c>
      <c r="H128" s="4">
        <f t="shared" si="6"/>
        <v>0</v>
      </c>
    </row>
    <row r="129" spans="1:9">
      <c r="A129" s="101" t="s">
        <v>258</v>
      </c>
      <c r="B129" s="83" t="s">
        <v>138</v>
      </c>
      <c r="C129" s="23">
        <f t="shared" si="9"/>
        <v>19200</v>
      </c>
      <c r="D129" s="21">
        <f>+'1.1.mell._ÖNK_Mérleg2020'!D129+'1.2.mell._HKÖH_Mérleg2020'!D129+'1.3.mell._HVÓBKI_Mérleg2020'!D129+'1.4.mell._HKK_Mérleg2020'!D129+'1.5._mell._MŐSZ_Mérleg2020'!D129+'1.6._mell._HVGYKCSSZ_Mérleg2020'!D129</f>
        <v>19200</v>
      </c>
      <c r="E129" s="12">
        <f>+'1.1.mell._ÖNK_Mérleg2020'!E129+'1.2.mell._HKÖH_Mérleg2020'!E129+'1.3.mell._HVÓBKI_Mérleg2020'!E129+'1.4.mell._HKK_Mérleg2020'!E129+'1.5._mell._MŐSZ_Mérleg2020'!E129+'1.6._mell._HVGYKCSSZ_Mérleg2020'!E129</f>
        <v>0</v>
      </c>
      <c r="F129" s="17">
        <f>+'1.1.mell._ÖNK_Mérleg2020'!F129+'1.2.mell._HKÖH_Mérleg2020'!F129+'1.3.mell._HVÓBKI_Mérleg2020'!F129+'1.4.mell._HKK_Mérleg2020'!F129+'1.5._mell._MŐSZ_Mérleg2020'!F129+'1.6._mell._HVGYKCSSZ_Mérleg2020'!F129</f>
        <v>0</v>
      </c>
      <c r="H129" s="4">
        <f t="shared" si="6"/>
        <v>0</v>
      </c>
    </row>
    <row r="130" spans="1:9">
      <c r="A130" s="101" t="s">
        <v>259</v>
      </c>
      <c r="B130" s="83" t="s">
        <v>139</v>
      </c>
      <c r="C130" s="23">
        <f t="shared" si="9"/>
        <v>8299</v>
      </c>
      <c r="D130" s="21">
        <f>+'1.1.mell._ÖNK_Mérleg2020'!D130+'1.2.mell._HKÖH_Mérleg2020'!D130+'1.3.mell._HVÓBKI_Mérleg2020'!D130+'1.4.mell._HKK_Mérleg2020'!D130+'1.5._mell._MŐSZ_Mérleg2020'!D130+'1.6._mell._HVGYKCSSZ_Mérleg2020'!D130</f>
        <v>4875</v>
      </c>
      <c r="E130" s="12">
        <f>+'1.1.mell._ÖNK_Mérleg2020'!E130+'1.2.mell._HKÖH_Mérleg2020'!E130+'1.3.mell._HVÓBKI_Mérleg2020'!E130+'1.4.mell._HKK_Mérleg2020'!E130+'1.5._mell._MŐSZ_Mérleg2020'!E130+'1.6._mell._HVGYKCSSZ_Mérleg2020'!E130</f>
        <v>3424</v>
      </c>
      <c r="F130" s="17">
        <f>+'1.1.mell._ÖNK_Mérleg2020'!F130+'1.2.mell._HKÖH_Mérleg2020'!F130+'1.3.mell._HVÓBKI_Mérleg2020'!F130+'1.4.mell._HKK_Mérleg2020'!F130+'1.5._mell._MŐSZ_Mérleg2020'!F130+'1.6._mell._HVGYKCSSZ_Mérleg2020'!F130</f>
        <v>0</v>
      </c>
      <c r="H130" s="4">
        <f t="shared" si="6"/>
        <v>0</v>
      </c>
      <c r="I130" s="3"/>
    </row>
    <row r="131" spans="1:9" ht="12.75" thickBot="1">
      <c r="A131" s="94" t="s">
        <v>260</v>
      </c>
      <c r="B131" s="84" t="s">
        <v>140</v>
      </c>
      <c r="C131" s="26">
        <f t="shared" si="9"/>
        <v>22880</v>
      </c>
      <c r="D131" s="27">
        <f>+'1.1.mell._ÖNK_Mérleg2020'!D131+'1.2.mell._HKÖH_Mérleg2020'!D131+'1.3.mell._HVÓBKI_Mérleg2020'!D131+'1.4.mell._HKK_Mérleg2020'!D131+'1.5._mell._MŐSZ_Mérleg2020'!D131+'1.6._mell._HVGYKCSSZ_Mérleg2020'!D131</f>
        <v>22880</v>
      </c>
      <c r="E131" s="28">
        <f>+'1.1.mell._ÖNK_Mérleg2020'!E131+'1.2.mell._HKÖH_Mérleg2020'!E131+'1.3.mell._HVÓBKI_Mérleg2020'!E131+'1.4.mell._HKK_Mérleg2020'!E131+'1.5._mell._MŐSZ_Mérleg2020'!E131+'1.6._mell._HVGYKCSSZ_Mérleg2020'!E131</f>
        <v>0</v>
      </c>
      <c r="F131" s="29">
        <f>+'1.1.mell._ÖNK_Mérleg2020'!F131+'1.2.mell._HKÖH_Mérleg2020'!F131+'1.3.mell._HVÓBKI_Mérleg2020'!F131+'1.4.mell._HKK_Mérleg2020'!F131+'1.5._mell._MŐSZ_Mérleg2020'!F131+'1.6._mell._HVGYKCSSZ_Mérleg2020'!F131</f>
        <v>0</v>
      </c>
      <c r="H131" s="4">
        <f t="shared" si="6"/>
        <v>0</v>
      </c>
    </row>
    <row r="132" spans="1:9" s="3" customFormat="1" ht="12.75" thickBot="1">
      <c r="A132" s="99" t="s">
        <v>15</v>
      </c>
      <c r="B132" s="80" t="s">
        <v>923</v>
      </c>
      <c r="C132" s="44">
        <f>+C133+C134+C135+C136+C137+C138+C144+C140+C141+C142+C143+C145+C146</f>
        <v>2717621</v>
      </c>
      <c r="D132" s="33">
        <f>+D133+D134+D135+D136+D137+D138+D144+D140+D141+D142+D143+D145+D146</f>
        <v>2708607</v>
      </c>
      <c r="E132" s="34">
        <f>+E133+E134+E135+E136+E137+E138+E144+E140+E141+E142+E143+E145+E146</f>
        <v>9014</v>
      </c>
      <c r="F132" s="35">
        <f>+F133+F134+F135+F136+F137+F138+F144+F140+F141+F142+F143+F145+F146</f>
        <v>0</v>
      </c>
      <c r="G132" s="776">
        <f>+C132/$C$208</f>
        <v>0.59686297953910827</v>
      </c>
      <c r="H132" s="3">
        <f t="shared" si="6"/>
        <v>0</v>
      </c>
      <c r="I132" s="4"/>
    </row>
    <row r="133" spans="1:9">
      <c r="A133" s="100" t="s">
        <v>87</v>
      </c>
      <c r="B133" s="81" t="s">
        <v>141</v>
      </c>
      <c r="C133" s="36">
        <f t="shared" ref="C133:C145" si="10">+D133+E133+F133</f>
        <v>0</v>
      </c>
      <c r="D133" s="41">
        <f>+'1.1.mell._ÖNK_Mérleg2020'!D133+'1.2.mell._HKÖH_Mérleg2020'!D133+'1.3.mell._HVÓBKI_Mérleg2020'!D133+'1.4.mell._HKK_Mérleg2020'!D133+'1.5._mell._MŐSZ_Mérleg2020'!D133+'1.6._mell._HVGYKCSSZ_Mérleg2020'!D133</f>
        <v>0</v>
      </c>
      <c r="E133" s="11">
        <f>+'1.1.mell._ÖNK_Mérleg2020'!E133+'1.2.mell._HKÖH_Mérleg2020'!E133+'1.3.mell._HVÓBKI_Mérleg2020'!E133+'1.4.mell._HKK_Mérleg2020'!E133+'1.5._mell._MŐSZ_Mérleg2020'!E133+'1.6._mell._HVGYKCSSZ_Mérleg2020'!E133</f>
        <v>0</v>
      </c>
      <c r="F133" s="42">
        <f>+'1.1.mell._ÖNK_Mérleg2020'!F133+'1.2.mell._HKÖH_Mérleg2020'!F133+'1.3.mell._HVÓBKI_Mérleg2020'!F133+'1.4.mell._HKK_Mérleg2020'!F133+'1.5._mell._MŐSZ_Mérleg2020'!F133+'1.6._mell._HVGYKCSSZ_Mérleg2020'!F133</f>
        <v>0</v>
      </c>
      <c r="H133" s="4">
        <f t="shared" si="6"/>
        <v>0</v>
      </c>
    </row>
    <row r="134" spans="1:9">
      <c r="A134" s="101" t="s">
        <v>88</v>
      </c>
      <c r="B134" s="83" t="s">
        <v>142</v>
      </c>
      <c r="C134" s="23">
        <f t="shared" si="10"/>
        <v>9014</v>
      </c>
      <c r="D134" s="21">
        <f>+'1.1.mell._ÖNK_Mérleg2020'!D134+'1.2.mell._HKÖH_Mérleg2020'!D134+'1.3.mell._HVÓBKI_Mérleg2020'!D134+'1.4.mell._HKK_Mérleg2020'!D134+'1.5._mell._MŐSZ_Mérleg2020'!D134+'1.6._mell._HVGYKCSSZ_Mérleg2020'!D134</f>
        <v>1000</v>
      </c>
      <c r="E134" s="12">
        <f>+'1.1.mell._ÖNK_Mérleg2020'!E134+'1.2.mell._HKÖH_Mérleg2020'!E134+'1.3.mell._HVÓBKI_Mérleg2020'!E134+'1.4.mell._HKK_Mérleg2020'!E134+'1.5._mell._MŐSZ_Mérleg2020'!E134+'1.6._mell._HVGYKCSSZ_Mérleg2020'!E134</f>
        <v>8014</v>
      </c>
      <c r="F134" s="17">
        <f>+'1.1.mell._ÖNK_Mérleg2020'!F134+'1.2.mell._HKÖH_Mérleg2020'!F134+'1.3.mell._HVÓBKI_Mérleg2020'!F134+'1.4.mell._HKK_Mérleg2020'!F134+'1.5._mell._MŐSZ_Mérleg2020'!F134+'1.6._mell._HVGYKCSSZ_Mérleg2020'!F134</f>
        <v>0</v>
      </c>
      <c r="H134" s="4">
        <f t="shared" si="6"/>
        <v>0</v>
      </c>
    </row>
    <row r="135" spans="1:9">
      <c r="A135" s="101" t="s">
        <v>181</v>
      </c>
      <c r="B135" s="83" t="s">
        <v>143</v>
      </c>
      <c r="C135" s="23">
        <f t="shared" si="10"/>
        <v>0</v>
      </c>
      <c r="D135" s="21">
        <f>+'1.1.mell._ÖNK_Mérleg2020'!D135+'1.2.mell._HKÖH_Mérleg2020'!D135+'1.3.mell._HVÓBKI_Mérleg2020'!D135+'1.4.mell._HKK_Mérleg2020'!D135+'1.5._mell._MŐSZ_Mérleg2020'!D135+'1.6._mell._HVGYKCSSZ_Mérleg2020'!D135</f>
        <v>0</v>
      </c>
      <c r="E135" s="12">
        <f>+'1.1.mell._ÖNK_Mérleg2020'!E135+'1.2.mell._HKÖH_Mérleg2020'!E135+'1.3.mell._HVÓBKI_Mérleg2020'!E135+'1.4.mell._HKK_Mérleg2020'!E135+'1.5._mell._MŐSZ_Mérleg2020'!E135+'1.6._mell._HVGYKCSSZ_Mérleg2020'!E135</f>
        <v>0</v>
      </c>
      <c r="F135" s="17">
        <f>+'1.1.mell._ÖNK_Mérleg2020'!F135+'1.2.mell._HKÖH_Mérleg2020'!F135+'1.3.mell._HVÓBKI_Mérleg2020'!F135+'1.4.mell._HKK_Mérleg2020'!F135+'1.5._mell._MŐSZ_Mérleg2020'!F135+'1.6._mell._HVGYKCSSZ_Mérleg2020'!F135</f>
        <v>0</v>
      </c>
      <c r="H135" s="4">
        <f t="shared" si="6"/>
        <v>0</v>
      </c>
    </row>
    <row r="136" spans="1:9">
      <c r="A136" s="101" t="s">
        <v>182</v>
      </c>
      <c r="B136" s="83" t="s">
        <v>144</v>
      </c>
      <c r="C136" s="23">
        <f t="shared" si="10"/>
        <v>0</v>
      </c>
      <c r="D136" s="21">
        <f>+'1.1.mell._ÖNK_Mérleg2020'!D136+'1.2.mell._HKÖH_Mérleg2020'!D136+'1.3.mell._HVÓBKI_Mérleg2020'!D136+'1.4.mell._HKK_Mérleg2020'!D136+'1.5._mell._MŐSZ_Mérleg2020'!D136+'1.6._mell._HVGYKCSSZ_Mérleg2020'!D136</f>
        <v>0</v>
      </c>
      <c r="E136" s="12">
        <f>+'1.1.mell._ÖNK_Mérleg2020'!E136+'1.2.mell._HKÖH_Mérleg2020'!E136+'1.3.mell._HVÓBKI_Mérleg2020'!E136+'1.4.mell._HKK_Mérleg2020'!E136+'1.5._mell._MŐSZ_Mérleg2020'!E136+'1.6._mell._HVGYKCSSZ_Mérleg2020'!E136</f>
        <v>0</v>
      </c>
      <c r="F136" s="17">
        <f>+'1.1.mell._ÖNK_Mérleg2020'!F136+'1.2.mell._HKÖH_Mérleg2020'!F136+'1.3.mell._HVÓBKI_Mérleg2020'!F136+'1.4.mell._HKK_Mérleg2020'!F136+'1.5._mell._MŐSZ_Mérleg2020'!F136+'1.6._mell._HVGYKCSSZ_Mérleg2020'!F136</f>
        <v>0</v>
      </c>
      <c r="H136" s="4">
        <f t="shared" si="6"/>
        <v>0</v>
      </c>
    </row>
    <row r="137" spans="1:9">
      <c r="A137" s="101" t="s">
        <v>183</v>
      </c>
      <c r="B137" s="83" t="s">
        <v>145</v>
      </c>
      <c r="C137" s="23">
        <f t="shared" si="10"/>
        <v>0</v>
      </c>
      <c r="D137" s="21">
        <f>+'1.1.mell._ÖNK_Mérleg2020'!D137+'1.2.mell._HKÖH_Mérleg2020'!D137+'1.3.mell._HVÓBKI_Mérleg2020'!D137+'1.4.mell._HKK_Mérleg2020'!D137+'1.5._mell._MŐSZ_Mérleg2020'!D137+'1.6._mell._HVGYKCSSZ_Mérleg2020'!D137</f>
        <v>0</v>
      </c>
      <c r="E137" s="12">
        <f>+'1.1.mell._ÖNK_Mérleg2020'!E137+'1.2.mell._HKÖH_Mérleg2020'!E137+'1.3.mell._HVÓBKI_Mérleg2020'!E137+'1.4.mell._HKK_Mérleg2020'!E137+'1.5._mell._MŐSZ_Mérleg2020'!E137+'1.6._mell._HVGYKCSSZ_Mérleg2020'!E137</f>
        <v>0</v>
      </c>
      <c r="F137" s="17">
        <f>+'1.1.mell._ÖNK_Mérleg2020'!F137+'1.2.mell._HKÖH_Mérleg2020'!F137+'1.3.mell._HVÓBKI_Mérleg2020'!F137+'1.4.mell._HKK_Mérleg2020'!F137+'1.5._mell._MŐSZ_Mérleg2020'!F137+'1.6._mell._HVGYKCSSZ_Mérleg2020'!F137</f>
        <v>0</v>
      </c>
      <c r="H137" s="4">
        <f t="shared" si="6"/>
        <v>0</v>
      </c>
      <c r="I137" s="14"/>
    </row>
    <row r="138" spans="1:9">
      <c r="A138" s="101" t="s">
        <v>261</v>
      </c>
      <c r="B138" s="83" t="s">
        <v>146</v>
      </c>
      <c r="C138" s="23">
        <f t="shared" si="10"/>
        <v>9332</v>
      </c>
      <c r="D138" s="21">
        <f>+'1.1.mell._ÖNK_Mérleg2020'!D138+'1.2.mell._HKÖH_Mérleg2020'!D138+'1.3.mell._HVÓBKI_Mérleg2020'!D138+'1.4.mell._HKK_Mérleg2020'!D138+'1.5._mell._MŐSZ_Mérleg2020'!D138+'1.6._mell._HVGYKCSSZ_Mérleg2020'!D138</f>
        <v>9332</v>
      </c>
      <c r="E138" s="12">
        <f>+'1.1.mell._ÖNK_Mérleg2020'!E138+'1.2.mell._HKÖH_Mérleg2020'!E138+'1.3.mell._HVÓBKI_Mérleg2020'!E138+'1.4.mell._HKK_Mérleg2020'!E138+'1.5._mell._MŐSZ_Mérleg2020'!E138+'1.6._mell._HVGYKCSSZ_Mérleg2020'!E138</f>
        <v>0</v>
      </c>
      <c r="F138" s="17">
        <f>+'1.1.mell._ÖNK_Mérleg2020'!F138+'1.2.mell._HKÖH_Mérleg2020'!F138+'1.3.mell._HVÓBKI_Mérleg2020'!F138+'1.4.mell._HKK_Mérleg2020'!F138+'1.5._mell._MŐSZ_Mérleg2020'!F138+'1.6._mell._HVGYKCSSZ_Mérleg2020'!F138</f>
        <v>0</v>
      </c>
      <c r="H138" s="4">
        <f t="shared" si="6"/>
        <v>0</v>
      </c>
    </row>
    <row r="139" spans="1:9" s="14" customFormat="1">
      <c r="A139" s="105" t="s">
        <v>335</v>
      </c>
      <c r="B139" s="894" t="s">
        <v>929</v>
      </c>
      <c r="C139" s="58">
        <f t="shared" si="10"/>
        <v>0</v>
      </c>
      <c r="D139" s="56">
        <f>+'1.1.mell._ÖNK_Mérleg2020'!D139+'1.2.mell._HKÖH_Mérleg2020'!D139+'1.3.mell._HVÓBKI_Mérleg2020'!D139+'1.4.mell._HKK_Mérleg2020'!D139+'1.5._mell._MŐSZ_Mérleg2020'!D139+'1.6._mell._HVGYKCSSZ_Mérleg2020'!D139</f>
        <v>0</v>
      </c>
      <c r="E139" s="54">
        <f>+'1.1.mell._ÖNK_Mérleg2020'!E139+'1.2.mell._HKÖH_Mérleg2020'!E139+'1.3.mell._HVÓBKI_Mérleg2020'!E139+'1.4.mell._HKK_Mérleg2020'!E139+'1.5._mell._MŐSZ_Mérleg2020'!E139+'1.6._mell._HVGYKCSSZ_Mérleg2020'!E139</f>
        <v>0</v>
      </c>
      <c r="F139" s="55">
        <f>+'1.1.mell._ÖNK_Mérleg2020'!F139+'1.2.mell._HKÖH_Mérleg2020'!F139+'1.3.mell._HVÓBKI_Mérleg2020'!F139+'1.4.mell._HKK_Mérleg2020'!F139+'1.5._mell._MŐSZ_Mérleg2020'!F139+'1.6._mell._HVGYKCSSZ_Mérleg2020'!F139</f>
        <v>0</v>
      </c>
      <c r="H139" s="14">
        <f t="shared" ref="H139:H202" si="11">+C139-D139-E139-F139</f>
        <v>0</v>
      </c>
      <c r="I139" s="4"/>
    </row>
    <row r="140" spans="1:9">
      <c r="A140" s="101" t="s">
        <v>262</v>
      </c>
      <c r="B140" s="83" t="s">
        <v>147</v>
      </c>
      <c r="C140" s="23">
        <f t="shared" si="10"/>
        <v>0</v>
      </c>
      <c r="D140" s="21">
        <f>+'1.1.mell._ÖNK_Mérleg2020'!D140+'1.2.mell._HKÖH_Mérleg2020'!D140+'1.3.mell._HVÓBKI_Mérleg2020'!D140+'1.4.mell._HKK_Mérleg2020'!D140+'1.5._mell._MŐSZ_Mérleg2020'!D140+'1.6._mell._HVGYKCSSZ_Mérleg2020'!D140</f>
        <v>0</v>
      </c>
      <c r="E140" s="12">
        <f>+'1.1.mell._ÖNK_Mérleg2020'!E140+'1.2.mell._HKÖH_Mérleg2020'!E140+'1.3.mell._HVÓBKI_Mérleg2020'!E140+'1.4.mell._HKK_Mérleg2020'!E140+'1.5._mell._MŐSZ_Mérleg2020'!E140+'1.6._mell._HVGYKCSSZ_Mérleg2020'!E140</f>
        <v>0</v>
      </c>
      <c r="F140" s="17">
        <f>+'1.1.mell._ÖNK_Mérleg2020'!F140+'1.2.mell._HKÖH_Mérleg2020'!F140+'1.3.mell._HVÓBKI_Mérleg2020'!F140+'1.4.mell._HKK_Mérleg2020'!F140+'1.5._mell._MŐSZ_Mérleg2020'!F140+'1.6._mell._HVGYKCSSZ_Mérleg2020'!F140</f>
        <v>0</v>
      </c>
      <c r="H140" s="4">
        <f t="shared" si="11"/>
        <v>0</v>
      </c>
    </row>
    <row r="141" spans="1:9">
      <c r="A141" s="101" t="s">
        <v>263</v>
      </c>
      <c r="B141" s="83" t="s">
        <v>148</v>
      </c>
      <c r="C141" s="23">
        <f t="shared" si="10"/>
        <v>0</v>
      </c>
      <c r="D141" s="21">
        <f>+'1.1.mell._ÖNK_Mérleg2020'!D141+'1.2.mell._HKÖH_Mérleg2020'!D141+'1.3.mell._HVÓBKI_Mérleg2020'!D141+'1.4.mell._HKK_Mérleg2020'!D141+'1.5._mell._MŐSZ_Mérleg2020'!D141+'1.6._mell._HVGYKCSSZ_Mérleg2020'!D141</f>
        <v>0</v>
      </c>
      <c r="E141" s="12">
        <f>+'1.1.mell._ÖNK_Mérleg2020'!E141+'1.2.mell._HKÖH_Mérleg2020'!E141+'1.3.mell._HVÓBKI_Mérleg2020'!E141+'1.4.mell._HKK_Mérleg2020'!E141+'1.5._mell._MŐSZ_Mérleg2020'!E141+'1.6._mell._HVGYKCSSZ_Mérleg2020'!E141</f>
        <v>0</v>
      </c>
      <c r="F141" s="17">
        <f>+'1.1.mell._ÖNK_Mérleg2020'!F141+'1.2.mell._HKÖH_Mérleg2020'!F141+'1.3.mell._HVÓBKI_Mérleg2020'!F141+'1.4.mell._HKK_Mérleg2020'!F141+'1.5._mell._MŐSZ_Mérleg2020'!F141+'1.6._mell._HVGYKCSSZ_Mérleg2020'!F141</f>
        <v>0</v>
      </c>
      <c r="H141" s="4">
        <f t="shared" si="11"/>
        <v>0</v>
      </c>
    </row>
    <row r="142" spans="1:9">
      <c r="A142" s="101" t="s">
        <v>264</v>
      </c>
      <c r="B142" s="83" t="s">
        <v>149</v>
      </c>
      <c r="C142" s="23">
        <f t="shared" si="10"/>
        <v>0</v>
      </c>
      <c r="D142" s="21">
        <f>+'1.1.mell._ÖNK_Mérleg2020'!D142+'1.2.mell._HKÖH_Mérleg2020'!D142+'1.3.mell._HVÓBKI_Mérleg2020'!D142+'1.4.mell._HKK_Mérleg2020'!D142+'1.5._mell._MŐSZ_Mérleg2020'!D142+'1.6._mell._HVGYKCSSZ_Mérleg2020'!D142</f>
        <v>0</v>
      </c>
      <c r="E142" s="12">
        <f>+'1.1.mell._ÖNK_Mérleg2020'!E142+'1.2.mell._HKÖH_Mérleg2020'!E142+'1.3.mell._HVÓBKI_Mérleg2020'!E142+'1.4.mell._HKK_Mérleg2020'!E142+'1.5._mell._MŐSZ_Mérleg2020'!E142+'1.6._mell._HVGYKCSSZ_Mérleg2020'!E142</f>
        <v>0</v>
      </c>
      <c r="F142" s="17">
        <f>+'1.1.mell._ÖNK_Mérleg2020'!F142+'1.2.mell._HKÖH_Mérleg2020'!F142+'1.3.mell._HVÓBKI_Mérleg2020'!F142+'1.4.mell._HKK_Mérleg2020'!F142+'1.5._mell._MŐSZ_Mérleg2020'!F142+'1.6._mell._HVGYKCSSZ_Mérleg2020'!F142</f>
        <v>0</v>
      </c>
      <c r="H142" s="4">
        <f t="shared" si="11"/>
        <v>0</v>
      </c>
    </row>
    <row r="143" spans="1:9">
      <c r="A143" s="101" t="s">
        <v>265</v>
      </c>
      <c r="B143" s="83" t="s">
        <v>150</v>
      </c>
      <c r="C143" s="23">
        <f t="shared" si="10"/>
        <v>0</v>
      </c>
      <c r="D143" s="21">
        <f>+'1.1.mell._ÖNK_Mérleg2020'!D143+'1.2.mell._HKÖH_Mérleg2020'!D143+'1.3.mell._HVÓBKI_Mérleg2020'!D143+'1.4.mell._HKK_Mérleg2020'!D143+'1.5._mell._MŐSZ_Mérleg2020'!D143+'1.6._mell._HVGYKCSSZ_Mérleg2020'!D143</f>
        <v>0</v>
      </c>
      <c r="E143" s="12">
        <f>+'1.1.mell._ÖNK_Mérleg2020'!E143+'1.2.mell._HKÖH_Mérleg2020'!E143+'1.3.mell._HVÓBKI_Mérleg2020'!E143+'1.4.mell._HKK_Mérleg2020'!E143+'1.5._mell._MŐSZ_Mérleg2020'!E143+'1.6._mell._HVGYKCSSZ_Mérleg2020'!E143</f>
        <v>0</v>
      </c>
      <c r="F143" s="17">
        <f>+'1.1.mell._ÖNK_Mérleg2020'!F143+'1.2.mell._HKÖH_Mérleg2020'!F143+'1.3.mell._HVÓBKI_Mérleg2020'!F143+'1.4.mell._HKK_Mérleg2020'!F143+'1.5._mell._MŐSZ_Mérleg2020'!F143+'1.6._mell._HVGYKCSSZ_Mérleg2020'!F143</f>
        <v>0</v>
      </c>
      <c r="H143" s="4">
        <f t="shared" si="11"/>
        <v>0</v>
      </c>
    </row>
    <row r="144" spans="1:9">
      <c r="A144" s="101" t="s">
        <v>266</v>
      </c>
      <c r="B144" s="83" t="s">
        <v>924</v>
      </c>
      <c r="C144" s="23">
        <f>+D144+E144+F144</f>
        <v>0</v>
      </c>
      <c r="D144" s="21">
        <f>+'1.1.mell._ÖNK_Mérleg2020'!D144+'1.2.mell._HKÖH_Mérleg2020'!D144+'1.3.mell._HVÓBKI_Mérleg2020'!D144+'1.4.mell._HKK_Mérleg2020'!D144+'1.5._mell._MŐSZ_Mérleg2020'!D144+'1.6._mell._HVGYKCSSZ_Mérleg2020'!D144</f>
        <v>0</v>
      </c>
      <c r="E144" s="12">
        <f>+'1.1.mell._ÖNK_Mérleg2020'!E144+'1.2.mell._HKÖH_Mérleg2020'!E144+'1.3.mell._HVÓBKI_Mérleg2020'!E144+'1.4.mell._HKK_Mérleg2020'!E144+'1.5._mell._MŐSZ_Mérleg2020'!E144+'1.6._mell._HVGYKCSSZ_Mérleg2020'!E144</f>
        <v>0</v>
      </c>
      <c r="F144" s="17">
        <f>+'1.1.mell._ÖNK_Mérleg2020'!F144+'1.2.mell._HKÖH_Mérleg2020'!F144+'1.3.mell._HVÓBKI_Mérleg2020'!F144+'1.4.mell._HKK_Mérleg2020'!F144+'1.5._mell._MŐSZ_Mérleg2020'!F144+'1.6._mell._HVGYKCSSZ_Mérleg2020'!F144</f>
        <v>0</v>
      </c>
      <c r="H144" s="4">
        <f t="shared" si="11"/>
        <v>0</v>
      </c>
    </row>
    <row r="145" spans="1:9">
      <c r="A145" s="101" t="s">
        <v>267</v>
      </c>
      <c r="B145" s="83" t="s">
        <v>925</v>
      </c>
      <c r="C145" s="23">
        <f t="shared" si="10"/>
        <v>51350</v>
      </c>
      <c r="D145" s="21">
        <f>+'1.1.mell._ÖNK_Mérleg2020'!D145+'1.2.mell._HKÖH_Mérleg2020'!D145+'1.3.mell._HVÓBKI_Mérleg2020'!D145+'1.4.mell._HKK_Mérleg2020'!D145+'1.5._mell._MŐSZ_Mérleg2020'!D145+'1.6._mell._HVGYKCSSZ_Mérleg2020'!D145</f>
        <v>50350</v>
      </c>
      <c r="E145" s="12">
        <f>+'1.1.mell._ÖNK_Mérleg2020'!E145+'1.2.mell._HKÖH_Mérleg2020'!E145+'1.3.mell._HVÓBKI_Mérleg2020'!E145+'1.4.mell._HKK_Mérleg2020'!E145+'1.5._mell._MŐSZ_Mérleg2020'!E145+'1.6._mell._HVGYKCSSZ_Mérleg2020'!E145</f>
        <v>1000</v>
      </c>
      <c r="F145" s="17">
        <f>+'1.1.mell._ÖNK_Mérleg2020'!F145+'1.2.mell._HKÖH_Mérleg2020'!F145+'1.3.mell._HVÓBKI_Mérleg2020'!F145+'1.4.mell._HKK_Mérleg2020'!F145+'1.5._mell._MŐSZ_Mérleg2020'!F145+'1.6._mell._HVGYKCSSZ_Mérleg2020'!F145</f>
        <v>0</v>
      </c>
      <c r="H145" s="4">
        <f t="shared" si="11"/>
        <v>0</v>
      </c>
      <c r="I145" s="14"/>
    </row>
    <row r="146" spans="1:9">
      <c r="A146" s="94" t="s">
        <v>920</v>
      </c>
      <c r="B146" s="84" t="s">
        <v>926</v>
      </c>
      <c r="C146" s="26">
        <f>+C147+C148</f>
        <v>2647925</v>
      </c>
      <c r="D146" s="27">
        <f>+D147+D148</f>
        <v>2647925</v>
      </c>
      <c r="E146" s="28">
        <f>+E147+E148</f>
        <v>0</v>
      </c>
      <c r="F146" s="29">
        <f>+F147+F148</f>
        <v>0</v>
      </c>
      <c r="H146" s="4">
        <f t="shared" si="11"/>
        <v>0</v>
      </c>
      <c r="I146" s="14"/>
    </row>
    <row r="147" spans="1:9" s="14" customFormat="1">
      <c r="A147" s="105" t="s">
        <v>921</v>
      </c>
      <c r="B147" s="90" t="s">
        <v>927</v>
      </c>
      <c r="C147" s="58">
        <f>+D147+E147+F147</f>
        <v>15000</v>
      </c>
      <c r="D147" s="56">
        <f>+'1.1.mell._ÖNK_Mérleg2020'!D147+'1.2.mell._HKÖH_Mérleg2020'!D147+'1.3.mell._HVÓBKI_Mérleg2020'!D147+'1.4.mell._HKK_Mérleg2020'!D147+'1.5._mell._MŐSZ_Mérleg2020'!D147+'1.6._mell._HVGYKCSSZ_Mérleg2020'!D147</f>
        <v>15000</v>
      </c>
      <c r="E147" s="54">
        <f>+'1.1.mell._ÖNK_Mérleg2020'!E147+'1.2.mell._HKÖH_Mérleg2020'!E147+'1.3.mell._HVÓBKI_Mérleg2020'!E147+'1.4.mell._HKK_Mérleg2020'!E147+'1.5._mell._MŐSZ_Mérleg2020'!E147+'1.6._mell._HVGYKCSSZ_Mérleg2020'!E147</f>
        <v>0</v>
      </c>
      <c r="F147" s="55">
        <f>+'1.1.mell._ÖNK_Mérleg2020'!F147+'1.2.mell._HKÖH_Mérleg2020'!F147+'1.3.mell._HVÓBKI_Mérleg2020'!F147+'1.4.mell._HKK_Mérleg2020'!F147+'1.5._mell._MŐSZ_Mérleg2020'!F147+'1.6._mell._HVGYKCSSZ_Mérleg2020'!F147</f>
        <v>0</v>
      </c>
      <c r="H147" s="14">
        <f t="shared" si="11"/>
        <v>0</v>
      </c>
      <c r="I147" s="3"/>
    </row>
    <row r="148" spans="1:9" s="14" customFormat="1" ht="12.75" thickBot="1">
      <c r="A148" s="105" t="s">
        <v>922</v>
      </c>
      <c r="B148" s="90" t="s">
        <v>928</v>
      </c>
      <c r="C148" s="58">
        <f>+D148+E148+F148</f>
        <v>2632925</v>
      </c>
      <c r="D148" s="56">
        <f>+'1.1.mell._ÖNK_Mérleg2020'!D148+'1.2.mell._HKÖH_Mérleg2020'!D148+'1.3.mell._HVÓBKI_Mérleg2020'!D148+'1.4.mell._HKK_Mérleg2020'!D148+'1.5._mell._MŐSZ_Mérleg2020'!D148+'1.6._mell._HVGYKCSSZ_Mérleg2020'!D148</f>
        <v>2632925</v>
      </c>
      <c r="E148" s="54">
        <f>+'1.1.mell._ÖNK_Mérleg2020'!E148+'1.2.mell._HKÖH_Mérleg2020'!E148+'1.3.mell._HVÓBKI_Mérleg2020'!E148+'1.4.mell._HKK_Mérleg2020'!E148+'1.5._mell._MŐSZ_Mérleg2020'!E148+'1.6._mell._HVGYKCSSZ_Mérleg2020'!E148</f>
        <v>0</v>
      </c>
      <c r="F148" s="55">
        <f>+'1.1.mell._ÖNK_Mérleg2020'!F148+'1.2.mell._HKÖH_Mérleg2020'!F148+'1.3.mell._HVÓBKI_Mérleg2020'!F148+'1.4.mell._HKK_Mérleg2020'!F148+'1.5._mell._MŐSZ_Mérleg2020'!F148+'1.6._mell._HVGYKCSSZ_Mérleg2020'!F148</f>
        <v>0</v>
      </c>
      <c r="H148" s="14">
        <f t="shared" si="11"/>
        <v>0</v>
      </c>
      <c r="I148" s="3"/>
    </row>
    <row r="149" spans="1:9" s="3" customFormat="1" ht="12.75" thickBot="1">
      <c r="A149" s="99" t="s">
        <v>14</v>
      </c>
      <c r="B149" s="85" t="s">
        <v>310</v>
      </c>
      <c r="C149" s="44">
        <f>+C150+C159+C165</f>
        <v>503980</v>
      </c>
      <c r="D149" s="33">
        <f>+D150+D159+D165</f>
        <v>157730</v>
      </c>
      <c r="E149" s="34">
        <f>+E150+E159+E165</f>
        <v>346250</v>
      </c>
      <c r="F149" s="35">
        <f>+F150+F159+F165</f>
        <v>0</v>
      </c>
      <c r="G149" s="776">
        <f>+C149/$C$208</f>
        <v>0.11068762142628417</v>
      </c>
      <c r="H149" s="3">
        <f t="shared" si="11"/>
        <v>0</v>
      </c>
      <c r="I149" s="46"/>
    </row>
    <row r="150" spans="1:9" s="3" customFormat="1" ht="12.75" thickBot="1">
      <c r="A150" s="99" t="s">
        <v>13</v>
      </c>
      <c r="B150" s="80" t="s">
        <v>311</v>
      </c>
      <c r="C150" s="44">
        <f>+C152+C153+C154+C155+C156+C157+C158</f>
        <v>436722</v>
      </c>
      <c r="D150" s="33">
        <f>+D152+D153+D154+D155+D156+D157+D158</f>
        <v>90472</v>
      </c>
      <c r="E150" s="34">
        <f>+E152+E153+E154+E155+E156+E157+E158</f>
        <v>346250</v>
      </c>
      <c r="F150" s="35">
        <f>+F152+F153+F154+F155+F156+F157+F158</f>
        <v>0</v>
      </c>
      <c r="G150" s="776">
        <f>+C150/$C$208</f>
        <v>9.5915947864061421E-2</v>
      </c>
      <c r="H150" s="3">
        <f t="shared" si="11"/>
        <v>0</v>
      </c>
      <c r="I150" s="4"/>
    </row>
    <row r="151" spans="1:9" s="46" customFormat="1">
      <c r="A151" s="895" t="s">
        <v>930</v>
      </c>
      <c r="B151" s="896" t="s">
        <v>341</v>
      </c>
      <c r="C151" s="112">
        <f t="shared" ref="C151:C158" si="12">+D151+E151+F151</f>
        <v>0</v>
      </c>
      <c r="D151" s="113">
        <f>+'1.1.mell._ÖNK_Mérleg2020'!D151+'1.2.mell._HKÖH_Mérleg2020'!D151+'1.3.mell._HVÓBKI_Mérleg2020'!D151+'1.4.mell._HKK_Mérleg2020'!D151+'1.5._mell._MŐSZ_Mérleg2020'!D151+'1.6._mell._HVGYKCSSZ_Mérleg2020'!D151</f>
        <v>0</v>
      </c>
      <c r="E151" s="114">
        <f>+'1.1.mell._ÖNK_Mérleg2020'!E151+'1.2.mell._HKÖH_Mérleg2020'!E151+'1.3.mell._HVÓBKI_Mérleg2020'!E151+'1.4.mell._HKK_Mérleg2020'!E151+'1.5._mell._MŐSZ_Mérleg2020'!E151+'1.6._mell._HVGYKCSSZ_Mérleg2020'!E151</f>
        <v>0</v>
      </c>
      <c r="F151" s="115">
        <f>+'1.1.mell._ÖNK_Mérleg2020'!F151+'1.2.mell._HKÖH_Mérleg2020'!F151+'1.3.mell._HVÓBKI_Mérleg2020'!F151+'1.4.mell._HKK_Mérleg2020'!F151+'1.5._mell._MŐSZ_Mérleg2020'!F151+'1.6._mell._HVGYKCSSZ_Mérleg2020'!F151</f>
        <v>0</v>
      </c>
      <c r="H151" s="46">
        <f t="shared" si="11"/>
        <v>0</v>
      </c>
      <c r="I151" s="4"/>
    </row>
    <row r="152" spans="1:9">
      <c r="A152" s="100" t="s">
        <v>66</v>
      </c>
      <c r="B152" s="81" t="s">
        <v>151</v>
      </c>
      <c r="C152" s="36">
        <f t="shared" si="12"/>
        <v>11811</v>
      </c>
      <c r="D152" s="41">
        <f>+'1.1.mell._ÖNK_Mérleg2020'!D152+'1.2.mell._HKÖH_Mérleg2020'!D152+'1.3.mell._HVÓBKI_Mérleg2020'!D152+'1.4.mell._HKK_Mérleg2020'!D152+'1.5._mell._MŐSZ_Mérleg2020'!D152+'1.6._mell._HVGYKCSSZ_Mérleg2020'!D152</f>
        <v>11811</v>
      </c>
      <c r="E152" s="11">
        <f>+'1.1.mell._ÖNK_Mérleg2020'!E152+'1.2.mell._HKÖH_Mérleg2020'!E152+'1.3.mell._HVÓBKI_Mérleg2020'!E152+'1.4.mell._HKK_Mérleg2020'!E152+'1.5._mell._MŐSZ_Mérleg2020'!E152+'1.6._mell._HVGYKCSSZ_Mérleg2020'!E152</f>
        <v>0</v>
      </c>
      <c r="F152" s="42">
        <f>+'1.1.mell._ÖNK_Mérleg2020'!F152+'1.2.mell._HKÖH_Mérleg2020'!F152+'1.3.mell._HVÓBKI_Mérleg2020'!F152+'1.4.mell._HKK_Mérleg2020'!F152+'1.5._mell._MŐSZ_Mérleg2020'!F152+'1.6._mell._HVGYKCSSZ_Mérleg2020'!F152</f>
        <v>0</v>
      </c>
      <c r="H152" s="4">
        <f t="shared" si="11"/>
        <v>0</v>
      </c>
    </row>
    <row r="153" spans="1:9">
      <c r="A153" s="101" t="s">
        <v>67</v>
      </c>
      <c r="B153" s="83" t="s">
        <v>152</v>
      </c>
      <c r="C153" s="23">
        <f t="shared" si="12"/>
        <v>328543</v>
      </c>
      <c r="D153" s="21">
        <f>+'1.1.mell._ÖNK_Mérleg2020'!D153+'1.2.mell._HKÖH_Mérleg2020'!D153+'1.3.mell._HVÓBKI_Mérleg2020'!D153+'1.4.mell._HKK_Mérleg2020'!D153+'1.5._mell._MŐSZ_Mérleg2020'!D153+'1.6._mell._HVGYKCSSZ_Mérleg2020'!D153</f>
        <v>56693</v>
      </c>
      <c r="E153" s="12">
        <f>+'1.1.mell._ÖNK_Mérleg2020'!E153+'1.2.mell._HKÖH_Mérleg2020'!E153+'1.3.mell._HVÓBKI_Mérleg2020'!E153+'1.4.mell._HKK_Mérleg2020'!E153+'1.5._mell._MŐSZ_Mérleg2020'!E153+'1.6._mell._HVGYKCSSZ_Mérleg2020'!E153</f>
        <v>271850</v>
      </c>
      <c r="F153" s="17">
        <f>+'1.1.mell._ÖNK_Mérleg2020'!F153+'1.2.mell._HKÖH_Mérleg2020'!F153+'1.3.mell._HVÓBKI_Mérleg2020'!F153+'1.4.mell._HKK_Mérleg2020'!F153+'1.5._mell._MŐSZ_Mérleg2020'!F153+'1.6._mell._HVGYKCSSZ_Mérleg2020'!F153</f>
        <v>0</v>
      </c>
      <c r="H153" s="4">
        <f t="shared" si="11"/>
        <v>0</v>
      </c>
    </row>
    <row r="154" spans="1:9">
      <c r="A154" s="101" t="s">
        <v>68</v>
      </c>
      <c r="B154" s="83" t="s">
        <v>153</v>
      </c>
      <c r="C154" s="23">
        <f t="shared" si="12"/>
        <v>3700</v>
      </c>
      <c r="D154" s="21">
        <f>+'1.1.mell._ÖNK_Mérleg2020'!D154+'1.2.mell._HKÖH_Mérleg2020'!D154+'1.3.mell._HVÓBKI_Mérleg2020'!D154+'1.4.mell._HKK_Mérleg2020'!D154+'1.5._mell._MŐSZ_Mérleg2020'!D154+'1.6._mell._HVGYKCSSZ_Mérleg2020'!D154</f>
        <v>3700</v>
      </c>
      <c r="E154" s="12">
        <f>+'1.1.mell._ÖNK_Mérleg2020'!E154+'1.2.mell._HKÖH_Mérleg2020'!E154+'1.3.mell._HVÓBKI_Mérleg2020'!E154+'1.4.mell._HKK_Mérleg2020'!E154+'1.5._mell._MŐSZ_Mérleg2020'!E154+'1.6._mell._HVGYKCSSZ_Mérleg2020'!E154</f>
        <v>0</v>
      </c>
      <c r="F154" s="17">
        <f>+'1.1.mell._ÖNK_Mérleg2020'!F154+'1.2.mell._HKÖH_Mérleg2020'!F154+'1.3.mell._HVÓBKI_Mérleg2020'!F154+'1.4.mell._HKK_Mérleg2020'!F154+'1.5._mell._MŐSZ_Mérleg2020'!F154+'1.6._mell._HVGYKCSSZ_Mérleg2020'!F154</f>
        <v>0</v>
      </c>
      <c r="H154" s="4">
        <f t="shared" si="11"/>
        <v>0</v>
      </c>
    </row>
    <row r="155" spans="1:9">
      <c r="A155" s="101" t="s">
        <v>229</v>
      </c>
      <c r="B155" s="83" t="s">
        <v>154</v>
      </c>
      <c r="C155" s="23">
        <f t="shared" si="12"/>
        <v>10449</v>
      </c>
      <c r="D155" s="21">
        <f>+'1.1.mell._ÖNK_Mérleg2020'!D155+'1.2.mell._HKÖH_Mérleg2020'!D155+'1.3.mell._HVÓBKI_Mérleg2020'!D155+'1.4.mell._HKK_Mérleg2020'!D155+'1.5._mell._MŐSZ_Mérleg2020'!D155+'1.6._mell._HVGYKCSSZ_Mérleg2020'!D155</f>
        <v>9662</v>
      </c>
      <c r="E155" s="12">
        <f>+'1.1.mell._ÖNK_Mérleg2020'!E155+'1.2.mell._HKÖH_Mérleg2020'!E155+'1.3.mell._HVÓBKI_Mérleg2020'!E155+'1.4.mell._HKK_Mérleg2020'!E155+'1.5._mell._MŐSZ_Mérleg2020'!E155+'1.6._mell._HVGYKCSSZ_Mérleg2020'!E155</f>
        <v>787</v>
      </c>
      <c r="F155" s="17">
        <f>+'1.1.mell._ÖNK_Mérleg2020'!F155+'1.2.mell._HKÖH_Mérleg2020'!F155+'1.3.mell._HVÓBKI_Mérleg2020'!F155+'1.4.mell._HKK_Mérleg2020'!F155+'1.5._mell._MŐSZ_Mérleg2020'!F155+'1.6._mell._HVGYKCSSZ_Mérleg2020'!F155</f>
        <v>0</v>
      </c>
      <c r="H155" s="4">
        <f t="shared" si="11"/>
        <v>0</v>
      </c>
    </row>
    <row r="156" spans="1:9">
      <c r="A156" s="101" t="s">
        <v>230</v>
      </c>
      <c r="B156" s="83" t="s">
        <v>155</v>
      </c>
      <c r="C156" s="23">
        <f t="shared" si="12"/>
        <v>0</v>
      </c>
      <c r="D156" s="21">
        <f>+'1.1.mell._ÖNK_Mérleg2020'!D156+'1.2.mell._HKÖH_Mérleg2020'!D156+'1.3.mell._HVÓBKI_Mérleg2020'!D156+'1.4.mell._HKK_Mérleg2020'!D156+'1.5._mell._MŐSZ_Mérleg2020'!D156+'1.6._mell._HVGYKCSSZ_Mérleg2020'!D156</f>
        <v>0</v>
      </c>
      <c r="E156" s="12">
        <f>+'1.1.mell._ÖNK_Mérleg2020'!E156+'1.2.mell._HKÖH_Mérleg2020'!E156+'1.3.mell._HVÓBKI_Mérleg2020'!E156+'1.4.mell._HKK_Mérleg2020'!E156+'1.5._mell._MŐSZ_Mérleg2020'!E156+'1.6._mell._HVGYKCSSZ_Mérleg2020'!E156</f>
        <v>0</v>
      </c>
      <c r="F156" s="17">
        <f>+'1.1.mell._ÖNK_Mérleg2020'!F156+'1.2.mell._HKÖH_Mérleg2020'!F156+'1.3.mell._HVÓBKI_Mérleg2020'!F156+'1.4.mell._HKK_Mérleg2020'!F156+'1.5._mell._MŐSZ_Mérleg2020'!F156+'1.6._mell._HVGYKCSSZ_Mérleg2020'!F156</f>
        <v>0</v>
      </c>
      <c r="H156" s="4">
        <f t="shared" si="11"/>
        <v>0</v>
      </c>
    </row>
    <row r="157" spans="1:9">
      <c r="A157" s="101" t="s">
        <v>268</v>
      </c>
      <c r="B157" s="83" t="s">
        <v>156</v>
      </c>
      <c r="C157" s="23">
        <f t="shared" si="12"/>
        <v>0</v>
      </c>
      <c r="D157" s="21">
        <f>+'1.1.mell._ÖNK_Mérleg2020'!D157+'1.2.mell._HKÖH_Mérleg2020'!D157+'1.3.mell._HVÓBKI_Mérleg2020'!D157+'1.4.mell._HKK_Mérleg2020'!D157+'1.5._mell._MŐSZ_Mérleg2020'!D157+'1.6._mell._HVGYKCSSZ_Mérleg2020'!D157</f>
        <v>0</v>
      </c>
      <c r="E157" s="12">
        <f>+'1.1.mell._ÖNK_Mérleg2020'!E157+'1.2.mell._HKÖH_Mérleg2020'!E157+'1.3.mell._HVÓBKI_Mérleg2020'!E157+'1.4.mell._HKK_Mérleg2020'!E157+'1.5._mell._MŐSZ_Mérleg2020'!E157+'1.6._mell._HVGYKCSSZ_Mérleg2020'!E157</f>
        <v>0</v>
      </c>
      <c r="F157" s="17">
        <f>+'1.1.mell._ÖNK_Mérleg2020'!F157+'1.2.mell._HKÖH_Mérleg2020'!F157+'1.3.mell._HVÓBKI_Mérleg2020'!F157+'1.4.mell._HKK_Mérleg2020'!F157+'1.5._mell._MŐSZ_Mérleg2020'!F157+'1.6._mell._HVGYKCSSZ_Mérleg2020'!F157</f>
        <v>0</v>
      </c>
      <c r="H157" s="4">
        <f t="shared" si="11"/>
        <v>0</v>
      </c>
      <c r="I157" s="3"/>
    </row>
    <row r="158" spans="1:9" ht="12.75" thickBot="1">
      <c r="A158" s="94" t="s">
        <v>269</v>
      </c>
      <c r="B158" s="84" t="s">
        <v>157</v>
      </c>
      <c r="C158" s="26">
        <f t="shared" si="12"/>
        <v>82219</v>
      </c>
      <c r="D158" s="27">
        <f>+'1.1.mell._ÖNK_Mérleg2020'!D158+'1.2.mell._HKÖH_Mérleg2020'!D158+'1.3.mell._HVÓBKI_Mérleg2020'!D158+'1.4.mell._HKK_Mérleg2020'!D158+'1.5._mell._MŐSZ_Mérleg2020'!D158+'1.6._mell._HVGYKCSSZ_Mérleg2020'!D158</f>
        <v>8606</v>
      </c>
      <c r="E158" s="28">
        <f>+'1.1.mell._ÖNK_Mérleg2020'!E158+'1.2.mell._HKÖH_Mérleg2020'!E158+'1.3.mell._HVÓBKI_Mérleg2020'!E158+'1.4.mell._HKK_Mérleg2020'!E158+'1.5._mell._MŐSZ_Mérleg2020'!E158+'1.6._mell._HVGYKCSSZ_Mérleg2020'!E158</f>
        <v>73613</v>
      </c>
      <c r="F158" s="29">
        <f>+'1.1.mell._ÖNK_Mérleg2020'!F158+'1.2.mell._HKÖH_Mérleg2020'!F158+'1.3.mell._HVÓBKI_Mérleg2020'!F158+'1.4.mell._HKK_Mérleg2020'!F158+'1.5._mell._MŐSZ_Mérleg2020'!F158+'1.6._mell._HVGYKCSSZ_Mérleg2020'!F158</f>
        <v>0</v>
      </c>
      <c r="H158" s="4">
        <f t="shared" si="11"/>
        <v>0</v>
      </c>
      <c r="I158" s="46"/>
    </row>
    <row r="159" spans="1:9" s="3" customFormat="1" ht="12.75" thickBot="1">
      <c r="A159" s="99" t="s">
        <v>12</v>
      </c>
      <c r="B159" s="80" t="s">
        <v>312</v>
      </c>
      <c r="C159" s="44">
        <f>+C161+C162+C163+C164</f>
        <v>67258</v>
      </c>
      <c r="D159" s="33">
        <f>+D161+D162+D163+D164</f>
        <v>67258</v>
      </c>
      <c r="E159" s="34">
        <f>+E161+E162+E163+E164</f>
        <v>0</v>
      </c>
      <c r="F159" s="35">
        <f>+F161+F162+F163+F164</f>
        <v>0</v>
      </c>
      <c r="G159" s="776">
        <f>+C159/$C$208</f>
        <v>1.4771673562222748E-2</v>
      </c>
      <c r="H159" s="3">
        <f t="shared" si="11"/>
        <v>0</v>
      </c>
      <c r="I159" s="4"/>
    </row>
    <row r="160" spans="1:9" s="46" customFormat="1">
      <c r="A160" s="895" t="s">
        <v>343</v>
      </c>
      <c r="B160" s="896" t="s">
        <v>344</v>
      </c>
      <c r="C160" s="112">
        <f>+D160+E160+F160</f>
        <v>0</v>
      </c>
      <c r="D160" s="113">
        <f>+'1.1.mell._ÖNK_Mérleg2020'!D160+'1.2.mell._HKÖH_Mérleg2020'!D160+'1.3.mell._HVÓBKI_Mérleg2020'!D160+'1.4.mell._HKK_Mérleg2020'!D160+'1.5._mell._MŐSZ_Mérleg2020'!D160+'1.6._mell._HVGYKCSSZ_Mérleg2020'!D160</f>
        <v>0</v>
      </c>
      <c r="E160" s="114">
        <f>+'1.1.mell._ÖNK_Mérleg2020'!E160+'1.2.mell._HKÖH_Mérleg2020'!E160+'1.3.mell._HVÓBKI_Mérleg2020'!E160+'1.4.mell._HKK_Mérleg2020'!E160+'1.5._mell._MŐSZ_Mérleg2020'!E160+'1.6._mell._HVGYKCSSZ_Mérleg2020'!E160</f>
        <v>0</v>
      </c>
      <c r="F160" s="115">
        <f>+'1.1.mell._ÖNK_Mérleg2020'!F160+'1.2.mell._HKÖH_Mérleg2020'!F160+'1.3.mell._HVÓBKI_Mérleg2020'!F160+'1.4.mell._HKK_Mérleg2020'!F160+'1.5._mell._MŐSZ_Mérleg2020'!F160+'1.6._mell._HVGYKCSSZ_Mérleg2020'!F160</f>
        <v>0</v>
      </c>
      <c r="H160" s="46">
        <f t="shared" si="11"/>
        <v>0</v>
      </c>
      <c r="I160" s="4"/>
    </row>
    <row r="161" spans="1:9">
      <c r="A161" s="100" t="s">
        <v>69</v>
      </c>
      <c r="B161" s="81" t="s">
        <v>158</v>
      </c>
      <c r="C161" s="36">
        <f>+D161+E161+F161</f>
        <v>52959</v>
      </c>
      <c r="D161" s="41">
        <f>+'1.1.mell._ÖNK_Mérleg2020'!D161+'1.2.mell._HKÖH_Mérleg2020'!D161+'1.3.mell._HVÓBKI_Mérleg2020'!D161+'1.4.mell._HKK_Mérleg2020'!D161+'1.5._mell._MŐSZ_Mérleg2020'!D161+'1.6._mell._HVGYKCSSZ_Mérleg2020'!D161</f>
        <v>52959</v>
      </c>
      <c r="E161" s="11">
        <f>+'1.1.mell._ÖNK_Mérleg2020'!E161+'1.2.mell._HKÖH_Mérleg2020'!E161+'1.3.mell._HVÓBKI_Mérleg2020'!E161+'1.4.mell._HKK_Mérleg2020'!E161+'1.5._mell._MŐSZ_Mérleg2020'!E161+'1.6._mell._HVGYKCSSZ_Mérleg2020'!E161</f>
        <v>0</v>
      </c>
      <c r="F161" s="42">
        <f>+'1.1.mell._ÖNK_Mérleg2020'!F161+'1.2.mell._HKÖH_Mérleg2020'!F161+'1.3.mell._HVÓBKI_Mérleg2020'!F161+'1.4.mell._HKK_Mérleg2020'!F161+'1.5._mell._MŐSZ_Mérleg2020'!F161+'1.6._mell._HVGYKCSSZ_Mérleg2020'!F161</f>
        <v>0</v>
      </c>
      <c r="H161" s="4">
        <f t="shared" si="11"/>
        <v>0</v>
      </c>
    </row>
    <row r="162" spans="1:9">
      <c r="A162" s="101" t="s">
        <v>70</v>
      </c>
      <c r="B162" s="83" t="s">
        <v>159</v>
      </c>
      <c r="C162" s="23">
        <f>+D162+E162+F162</f>
        <v>0</v>
      </c>
      <c r="D162" s="21">
        <f>+'1.1.mell._ÖNK_Mérleg2020'!D162+'1.2.mell._HKÖH_Mérleg2020'!D162+'1.3.mell._HVÓBKI_Mérleg2020'!D162+'1.4.mell._HKK_Mérleg2020'!D162+'1.5._mell._MŐSZ_Mérleg2020'!D162+'1.6._mell._HVGYKCSSZ_Mérleg2020'!D162</f>
        <v>0</v>
      </c>
      <c r="E162" s="12">
        <f>+'1.1.mell._ÖNK_Mérleg2020'!E162+'1.2.mell._HKÖH_Mérleg2020'!E162+'1.3.mell._HVÓBKI_Mérleg2020'!E162+'1.4.mell._HKK_Mérleg2020'!E162+'1.5._mell._MŐSZ_Mérleg2020'!E162+'1.6._mell._HVGYKCSSZ_Mérleg2020'!E162</f>
        <v>0</v>
      </c>
      <c r="F162" s="17">
        <f>+'1.1.mell._ÖNK_Mérleg2020'!F162+'1.2.mell._HKÖH_Mérleg2020'!F162+'1.3.mell._HVÓBKI_Mérleg2020'!F162+'1.4.mell._HKK_Mérleg2020'!F162+'1.5._mell._MŐSZ_Mérleg2020'!F162+'1.6._mell._HVGYKCSSZ_Mérleg2020'!F162</f>
        <v>0</v>
      </c>
      <c r="H162" s="4">
        <f t="shared" si="11"/>
        <v>0</v>
      </c>
    </row>
    <row r="163" spans="1:9">
      <c r="A163" s="101" t="s">
        <v>71</v>
      </c>
      <c r="B163" s="83" t="s">
        <v>160</v>
      </c>
      <c r="C163" s="23">
        <f>+D163+E163+F163</f>
        <v>0</v>
      </c>
      <c r="D163" s="21">
        <f>+'1.1.mell._ÖNK_Mérleg2020'!D163+'1.2.mell._HKÖH_Mérleg2020'!D163+'1.3.mell._HVÓBKI_Mérleg2020'!D163+'1.4.mell._HKK_Mérleg2020'!D163+'1.5._mell._MŐSZ_Mérleg2020'!D163+'1.6._mell._HVGYKCSSZ_Mérleg2020'!D163</f>
        <v>0</v>
      </c>
      <c r="E163" s="12">
        <f>+'1.1.mell._ÖNK_Mérleg2020'!E163+'1.2.mell._HKÖH_Mérleg2020'!E163+'1.3.mell._HVÓBKI_Mérleg2020'!E163+'1.4.mell._HKK_Mérleg2020'!E163+'1.5._mell._MŐSZ_Mérleg2020'!E163+'1.6._mell._HVGYKCSSZ_Mérleg2020'!E163</f>
        <v>0</v>
      </c>
      <c r="F163" s="17">
        <f>+'1.1.mell._ÖNK_Mérleg2020'!F163+'1.2.mell._HKÖH_Mérleg2020'!F163+'1.3.mell._HVÓBKI_Mérleg2020'!F163+'1.4.mell._HKK_Mérleg2020'!F163+'1.5._mell._MŐSZ_Mérleg2020'!F163+'1.6._mell._HVGYKCSSZ_Mérleg2020'!F163</f>
        <v>0</v>
      </c>
      <c r="H163" s="4">
        <f t="shared" si="11"/>
        <v>0</v>
      </c>
      <c r="I163" s="3"/>
    </row>
    <row r="164" spans="1:9" ht="12.75" thickBot="1">
      <c r="A164" s="94" t="s">
        <v>72</v>
      </c>
      <c r="B164" s="84" t="s">
        <v>161</v>
      </c>
      <c r="C164" s="26">
        <f>+D164+E164+F164</f>
        <v>14299</v>
      </c>
      <c r="D164" s="27">
        <f>+'1.1.mell._ÖNK_Mérleg2020'!D164+'1.2.mell._HKÖH_Mérleg2020'!D164+'1.3.mell._HVÓBKI_Mérleg2020'!D164+'1.4.mell._HKK_Mérleg2020'!D164+'1.5._mell._MŐSZ_Mérleg2020'!D164+'1.6._mell._HVGYKCSSZ_Mérleg2020'!D164</f>
        <v>14299</v>
      </c>
      <c r="E164" s="28">
        <f>+'1.1.mell._ÖNK_Mérleg2020'!E164+'1.2.mell._HKÖH_Mérleg2020'!E164+'1.3.mell._HVÓBKI_Mérleg2020'!E164+'1.4.mell._HKK_Mérleg2020'!E164+'1.5._mell._MŐSZ_Mérleg2020'!E164+'1.6._mell._HVGYKCSSZ_Mérleg2020'!E164</f>
        <v>0</v>
      </c>
      <c r="F164" s="29">
        <f>+'1.1.mell._ÖNK_Mérleg2020'!F164+'1.2.mell._HKÖH_Mérleg2020'!F164+'1.3.mell._HVÓBKI_Mérleg2020'!F164+'1.4.mell._HKK_Mérleg2020'!F164+'1.5._mell._MŐSZ_Mérleg2020'!F164+'1.6._mell._HVGYKCSSZ_Mérleg2020'!F164</f>
        <v>0</v>
      </c>
      <c r="H164" s="4">
        <f t="shared" si="11"/>
        <v>0</v>
      </c>
    </row>
    <row r="165" spans="1:9" s="3" customFormat="1" ht="12.75" thickBot="1">
      <c r="A165" s="99" t="s">
        <v>11</v>
      </c>
      <c r="B165" s="80" t="s">
        <v>932</v>
      </c>
      <c r="C165" s="44">
        <f>+C166+C167+C168+C169+C171+C172+C173+C174+C175</f>
        <v>0</v>
      </c>
      <c r="D165" s="33">
        <f>+D166+D167+D168+D169+D171+D172+D173+D174+D175</f>
        <v>0</v>
      </c>
      <c r="E165" s="34">
        <f>+E166+E167+E168+E169+E171+E172+E173+E174+E175</f>
        <v>0</v>
      </c>
      <c r="F165" s="35">
        <f>+F166+F167+F168+F169+F171+F172+F173+F174+F175</f>
        <v>0</v>
      </c>
      <c r="G165" s="776">
        <f>+C165/$C$208</f>
        <v>0</v>
      </c>
      <c r="H165" s="3">
        <f t="shared" si="11"/>
        <v>0</v>
      </c>
      <c r="I165" s="4"/>
    </row>
    <row r="166" spans="1:9">
      <c r="A166" s="100" t="s">
        <v>270</v>
      </c>
      <c r="B166" s="81" t="s">
        <v>162</v>
      </c>
      <c r="C166" s="36">
        <f t="shared" ref="C166:C175" si="13">+D166+E166+F166</f>
        <v>0</v>
      </c>
      <c r="D166" s="41">
        <f>+'1.1.mell._ÖNK_Mérleg2020'!D166+'1.2.mell._HKÖH_Mérleg2020'!D166+'1.3.mell._HVÓBKI_Mérleg2020'!D166+'1.4.mell._HKK_Mérleg2020'!D166+'1.5._mell._MŐSZ_Mérleg2020'!D166+'1.6._mell._HVGYKCSSZ_Mérleg2020'!D166</f>
        <v>0</v>
      </c>
      <c r="E166" s="11">
        <f>+'1.1.mell._ÖNK_Mérleg2020'!E166+'1.2.mell._HKÖH_Mérleg2020'!E166+'1.3.mell._HVÓBKI_Mérleg2020'!E166+'1.4.mell._HKK_Mérleg2020'!E166+'1.5._mell._MŐSZ_Mérleg2020'!E166+'1.6._mell._HVGYKCSSZ_Mérleg2020'!E166</f>
        <v>0</v>
      </c>
      <c r="F166" s="42">
        <f>+'1.1.mell._ÖNK_Mérleg2020'!F166+'1.2.mell._HKÖH_Mérleg2020'!F166+'1.3.mell._HVÓBKI_Mérleg2020'!F166+'1.4.mell._HKK_Mérleg2020'!F166+'1.5._mell._MŐSZ_Mérleg2020'!F166+'1.6._mell._HVGYKCSSZ_Mérleg2020'!F166</f>
        <v>0</v>
      </c>
      <c r="H166" s="4">
        <f t="shared" si="11"/>
        <v>0</v>
      </c>
    </row>
    <row r="167" spans="1:9">
      <c r="A167" s="101" t="s">
        <v>271</v>
      </c>
      <c r="B167" s="83" t="s">
        <v>163</v>
      </c>
      <c r="C167" s="23">
        <f t="shared" si="13"/>
        <v>0</v>
      </c>
      <c r="D167" s="21">
        <f>+'1.1.mell._ÖNK_Mérleg2020'!D167+'1.2.mell._HKÖH_Mérleg2020'!D167+'1.3.mell._HVÓBKI_Mérleg2020'!D167+'1.4.mell._HKK_Mérleg2020'!D167+'1.5._mell._MŐSZ_Mérleg2020'!D167+'1.6._mell._HVGYKCSSZ_Mérleg2020'!D167</f>
        <v>0</v>
      </c>
      <c r="E167" s="12">
        <f>+'1.1.mell._ÖNK_Mérleg2020'!E167+'1.2.mell._HKÖH_Mérleg2020'!E167+'1.3.mell._HVÓBKI_Mérleg2020'!E167+'1.4.mell._HKK_Mérleg2020'!E167+'1.5._mell._MŐSZ_Mérleg2020'!E167+'1.6._mell._HVGYKCSSZ_Mérleg2020'!E167</f>
        <v>0</v>
      </c>
      <c r="F167" s="17">
        <f>+'1.1.mell._ÖNK_Mérleg2020'!F167+'1.2.mell._HKÖH_Mérleg2020'!F167+'1.3.mell._HVÓBKI_Mérleg2020'!F167+'1.4.mell._HKK_Mérleg2020'!F167+'1.5._mell._MŐSZ_Mérleg2020'!F167+'1.6._mell._HVGYKCSSZ_Mérleg2020'!F167</f>
        <v>0</v>
      </c>
      <c r="H167" s="4">
        <f t="shared" si="11"/>
        <v>0</v>
      </c>
    </row>
    <row r="168" spans="1:9">
      <c r="A168" s="101" t="s">
        <v>272</v>
      </c>
      <c r="B168" s="83" t="s">
        <v>164</v>
      </c>
      <c r="C168" s="23">
        <f t="shared" si="13"/>
        <v>0</v>
      </c>
      <c r="D168" s="21">
        <f>+'1.1.mell._ÖNK_Mérleg2020'!D168+'1.2.mell._HKÖH_Mérleg2020'!D168+'1.3.mell._HVÓBKI_Mérleg2020'!D168+'1.4.mell._HKK_Mérleg2020'!D168+'1.5._mell._MŐSZ_Mérleg2020'!D168+'1.6._mell._HVGYKCSSZ_Mérleg2020'!D168</f>
        <v>0</v>
      </c>
      <c r="E168" s="12">
        <f>+'1.1.mell._ÖNK_Mérleg2020'!E168+'1.2.mell._HKÖH_Mérleg2020'!E168+'1.3.mell._HVÓBKI_Mérleg2020'!E168+'1.4.mell._HKK_Mérleg2020'!E168+'1.5._mell._MŐSZ_Mérleg2020'!E168+'1.6._mell._HVGYKCSSZ_Mérleg2020'!E168</f>
        <v>0</v>
      </c>
      <c r="F168" s="17">
        <f>+'1.1.mell._ÖNK_Mérleg2020'!F168+'1.2.mell._HKÖH_Mérleg2020'!F168+'1.3.mell._HVÓBKI_Mérleg2020'!F168+'1.4.mell._HKK_Mérleg2020'!F168+'1.5._mell._MŐSZ_Mérleg2020'!F168+'1.6._mell._HVGYKCSSZ_Mérleg2020'!F168</f>
        <v>0</v>
      </c>
      <c r="H168" s="4">
        <f t="shared" si="11"/>
        <v>0</v>
      </c>
      <c r="I168" s="14"/>
    </row>
    <row r="169" spans="1:9">
      <c r="A169" s="101" t="s">
        <v>273</v>
      </c>
      <c r="B169" s="83" t="s">
        <v>165</v>
      </c>
      <c r="C169" s="23">
        <f t="shared" si="13"/>
        <v>0</v>
      </c>
      <c r="D169" s="21">
        <f>+'1.1.mell._ÖNK_Mérleg2020'!D169+'1.2.mell._HKÖH_Mérleg2020'!D169+'1.3.mell._HVÓBKI_Mérleg2020'!D169+'1.4.mell._HKK_Mérleg2020'!D169+'1.5._mell._MŐSZ_Mérleg2020'!D169+'1.6._mell._HVGYKCSSZ_Mérleg2020'!D169</f>
        <v>0</v>
      </c>
      <c r="E169" s="12">
        <f>+'1.1.mell._ÖNK_Mérleg2020'!E169+'1.2.mell._HKÖH_Mérleg2020'!E169+'1.3.mell._HVÓBKI_Mérleg2020'!E169+'1.4.mell._HKK_Mérleg2020'!E169+'1.5._mell._MŐSZ_Mérleg2020'!E169+'1.6._mell._HVGYKCSSZ_Mérleg2020'!E169</f>
        <v>0</v>
      </c>
      <c r="F169" s="17">
        <f>+'1.1.mell._ÖNK_Mérleg2020'!F169+'1.2.mell._HKÖH_Mérleg2020'!F169+'1.3.mell._HVÓBKI_Mérleg2020'!F169+'1.4.mell._HKK_Mérleg2020'!F169+'1.5._mell._MŐSZ_Mérleg2020'!F169+'1.6._mell._HVGYKCSSZ_Mérleg2020'!F169</f>
        <v>0</v>
      </c>
      <c r="H169" s="4">
        <f t="shared" si="11"/>
        <v>0</v>
      </c>
    </row>
    <row r="170" spans="1:9" s="14" customFormat="1">
      <c r="A170" s="105" t="s">
        <v>338</v>
      </c>
      <c r="B170" s="894" t="s">
        <v>339</v>
      </c>
      <c r="C170" s="58">
        <f t="shared" si="13"/>
        <v>0</v>
      </c>
      <c r="D170" s="56">
        <f>+'1.1.mell._ÖNK_Mérleg2020'!D170+'1.2.mell._HKÖH_Mérleg2020'!D170+'1.3.mell._HVÓBKI_Mérleg2020'!D170+'1.4.mell._HKK_Mérleg2020'!D170+'1.5._mell._MŐSZ_Mérleg2020'!D170+'1.6._mell._HVGYKCSSZ_Mérleg2020'!D170</f>
        <v>0</v>
      </c>
      <c r="E170" s="54">
        <f>+'1.1.mell._ÖNK_Mérleg2020'!E170+'1.2.mell._HKÖH_Mérleg2020'!E170+'1.3.mell._HVÓBKI_Mérleg2020'!E170+'1.4.mell._HKK_Mérleg2020'!E170+'1.5._mell._MŐSZ_Mérleg2020'!E170+'1.6._mell._HVGYKCSSZ_Mérleg2020'!E170</f>
        <v>0</v>
      </c>
      <c r="F170" s="55">
        <f>+'1.1.mell._ÖNK_Mérleg2020'!F170+'1.2.mell._HKÖH_Mérleg2020'!F170+'1.3.mell._HVÓBKI_Mérleg2020'!F170+'1.4.mell._HKK_Mérleg2020'!F170+'1.5._mell._MŐSZ_Mérleg2020'!F170+'1.6._mell._HVGYKCSSZ_Mérleg2020'!F170</f>
        <v>0</v>
      </c>
      <c r="H170" s="14">
        <f t="shared" si="11"/>
        <v>0</v>
      </c>
      <c r="I170" s="4"/>
    </row>
    <row r="171" spans="1:9">
      <c r="A171" s="101" t="s">
        <v>274</v>
      </c>
      <c r="B171" s="83" t="s">
        <v>166</v>
      </c>
      <c r="C171" s="23">
        <f t="shared" si="13"/>
        <v>0</v>
      </c>
      <c r="D171" s="21">
        <f>+'1.1.mell._ÖNK_Mérleg2020'!D171+'1.2.mell._HKÖH_Mérleg2020'!D171+'1.3.mell._HVÓBKI_Mérleg2020'!D171+'1.4.mell._HKK_Mérleg2020'!D171+'1.5._mell._MŐSZ_Mérleg2020'!D171+'1.6._mell._HVGYKCSSZ_Mérleg2020'!D171</f>
        <v>0</v>
      </c>
      <c r="E171" s="12">
        <f>+'1.1.mell._ÖNK_Mérleg2020'!E171+'1.2.mell._HKÖH_Mérleg2020'!E171+'1.3.mell._HVÓBKI_Mérleg2020'!E171+'1.4.mell._HKK_Mérleg2020'!E171+'1.5._mell._MŐSZ_Mérleg2020'!E171+'1.6._mell._HVGYKCSSZ_Mérleg2020'!E171</f>
        <v>0</v>
      </c>
      <c r="F171" s="17">
        <f>+'1.1.mell._ÖNK_Mérleg2020'!F171+'1.2.mell._HKÖH_Mérleg2020'!F171+'1.3.mell._HVÓBKI_Mérleg2020'!F171+'1.4.mell._HKK_Mérleg2020'!F171+'1.5._mell._MŐSZ_Mérleg2020'!F171+'1.6._mell._HVGYKCSSZ_Mérleg2020'!F171</f>
        <v>0</v>
      </c>
      <c r="H171" s="4">
        <f t="shared" si="11"/>
        <v>0</v>
      </c>
    </row>
    <row r="172" spans="1:9">
      <c r="A172" s="101" t="s">
        <v>275</v>
      </c>
      <c r="B172" s="83" t="s">
        <v>167</v>
      </c>
      <c r="C172" s="23">
        <f t="shared" si="13"/>
        <v>0</v>
      </c>
      <c r="D172" s="21">
        <f>+'1.1.mell._ÖNK_Mérleg2020'!D172+'1.2.mell._HKÖH_Mérleg2020'!D172+'1.3.mell._HVÓBKI_Mérleg2020'!D172+'1.4.mell._HKK_Mérleg2020'!D172+'1.5._mell._MŐSZ_Mérleg2020'!D172+'1.6._mell._HVGYKCSSZ_Mérleg2020'!D172</f>
        <v>0</v>
      </c>
      <c r="E172" s="12">
        <f>+'1.1.mell._ÖNK_Mérleg2020'!E172+'1.2.mell._HKÖH_Mérleg2020'!E172+'1.3.mell._HVÓBKI_Mérleg2020'!E172+'1.4.mell._HKK_Mérleg2020'!E172+'1.5._mell._MŐSZ_Mérleg2020'!E172+'1.6._mell._HVGYKCSSZ_Mérleg2020'!E172</f>
        <v>0</v>
      </c>
      <c r="F172" s="17">
        <f>+'1.1.mell._ÖNK_Mérleg2020'!F172+'1.2.mell._HKÖH_Mérleg2020'!F172+'1.3.mell._HVÓBKI_Mérleg2020'!F172+'1.4.mell._HKK_Mérleg2020'!F172+'1.5._mell._MŐSZ_Mérleg2020'!F172+'1.6._mell._HVGYKCSSZ_Mérleg2020'!F172</f>
        <v>0</v>
      </c>
      <c r="H172" s="4">
        <f t="shared" si="11"/>
        <v>0</v>
      </c>
    </row>
    <row r="173" spans="1:9">
      <c r="A173" s="101" t="s">
        <v>276</v>
      </c>
      <c r="B173" s="83" t="s">
        <v>168</v>
      </c>
      <c r="C173" s="23">
        <f t="shared" si="13"/>
        <v>0</v>
      </c>
      <c r="D173" s="21">
        <f>+'1.1.mell._ÖNK_Mérleg2020'!D173+'1.2.mell._HKÖH_Mérleg2020'!D173+'1.3.mell._HVÓBKI_Mérleg2020'!D173+'1.4.mell._HKK_Mérleg2020'!D173+'1.5._mell._MŐSZ_Mérleg2020'!D173+'1.6._mell._HVGYKCSSZ_Mérleg2020'!D173</f>
        <v>0</v>
      </c>
      <c r="E173" s="12">
        <f>+'1.1.mell._ÖNK_Mérleg2020'!E173+'1.2.mell._HKÖH_Mérleg2020'!E173+'1.3.mell._HVÓBKI_Mérleg2020'!E173+'1.4.mell._HKK_Mérleg2020'!E173+'1.5._mell._MŐSZ_Mérleg2020'!E173+'1.6._mell._HVGYKCSSZ_Mérleg2020'!E173</f>
        <v>0</v>
      </c>
      <c r="F173" s="17">
        <f>+'1.1.mell._ÖNK_Mérleg2020'!F173+'1.2.mell._HKÖH_Mérleg2020'!F173+'1.3.mell._HVÓBKI_Mérleg2020'!F173+'1.4.mell._HKK_Mérleg2020'!F173+'1.5._mell._MŐSZ_Mérleg2020'!F173+'1.6._mell._HVGYKCSSZ_Mérleg2020'!F173</f>
        <v>0</v>
      </c>
      <c r="H173" s="4">
        <f t="shared" si="11"/>
        <v>0</v>
      </c>
    </row>
    <row r="174" spans="1:9">
      <c r="A174" s="101" t="s">
        <v>277</v>
      </c>
      <c r="B174" s="83" t="s">
        <v>933</v>
      </c>
      <c r="C174" s="23">
        <f>+D174+E174+F174</f>
        <v>0</v>
      </c>
      <c r="D174" s="21">
        <f>+'1.1.mell._ÖNK_Mérleg2020'!D174+'1.2.mell._HKÖH_Mérleg2020'!D174+'1.3.mell._HVÓBKI_Mérleg2020'!D174+'1.4.mell._HKK_Mérleg2020'!D174+'1.5._mell._MŐSZ_Mérleg2020'!D174+'1.6._mell._HVGYKCSSZ_Mérleg2020'!D174</f>
        <v>0</v>
      </c>
      <c r="E174" s="12">
        <f>+'1.1.mell._ÖNK_Mérleg2020'!E174+'1.2.mell._HKÖH_Mérleg2020'!E174+'1.3.mell._HVÓBKI_Mérleg2020'!E174+'1.4.mell._HKK_Mérleg2020'!E174+'1.5._mell._MŐSZ_Mérleg2020'!E174+'1.6._mell._HVGYKCSSZ_Mérleg2020'!E174</f>
        <v>0</v>
      </c>
      <c r="F174" s="17">
        <f>+'1.1.mell._ÖNK_Mérleg2020'!F174+'1.2.mell._HKÖH_Mérleg2020'!F174+'1.3.mell._HVÓBKI_Mérleg2020'!F174+'1.4.mell._HKK_Mérleg2020'!F174+'1.5._mell._MŐSZ_Mérleg2020'!F174+'1.6._mell._HVGYKCSSZ_Mérleg2020'!F174</f>
        <v>0</v>
      </c>
      <c r="H174" s="4">
        <f t="shared" si="11"/>
        <v>0</v>
      </c>
      <c r="I174" s="3"/>
    </row>
    <row r="175" spans="1:9" ht="12.75" thickBot="1">
      <c r="A175" s="94" t="s">
        <v>931</v>
      </c>
      <c r="B175" s="84" t="s">
        <v>934</v>
      </c>
      <c r="C175" s="26">
        <f t="shared" si="13"/>
        <v>0</v>
      </c>
      <c r="D175" s="27">
        <f>+'1.1.mell._ÖNK_Mérleg2020'!D175+'1.2.mell._HKÖH_Mérleg2020'!D175+'1.3.mell._HVÓBKI_Mérleg2020'!D175+'1.4.mell._HKK_Mérleg2020'!D175+'1.5._mell._MŐSZ_Mérleg2020'!D175+'1.6._mell._HVGYKCSSZ_Mérleg2020'!D175</f>
        <v>0</v>
      </c>
      <c r="E175" s="28">
        <f>+'1.1.mell._ÖNK_Mérleg2020'!E175+'1.2.mell._HKÖH_Mérleg2020'!E175+'1.3.mell._HVÓBKI_Mérleg2020'!E175+'1.4.mell._HKK_Mérleg2020'!E175+'1.5._mell._MŐSZ_Mérleg2020'!E175+'1.6._mell._HVGYKCSSZ_Mérleg2020'!E175</f>
        <v>0</v>
      </c>
      <c r="F175" s="29">
        <f>+'1.1.mell._ÖNK_Mérleg2020'!F175+'1.2.mell._HKÖH_Mérleg2020'!F175+'1.3.mell._HVÓBKI_Mérleg2020'!F175+'1.4.mell._HKK_Mérleg2020'!F175+'1.5._mell._MŐSZ_Mérleg2020'!F175+'1.6._mell._HVGYKCSSZ_Mérleg2020'!F175</f>
        <v>0</v>
      </c>
      <c r="H175" s="4">
        <f t="shared" si="11"/>
        <v>0</v>
      </c>
      <c r="I175" s="3"/>
    </row>
    <row r="176" spans="1:9" s="3" customFormat="1" ht="12.75" thickBot="1">
      <c r="A176" s="99" t="s">
        <v>10</v>
      </c>
      <c r="B176" s="85" t="s">
        <v>313</v>
      </c>
      <c r="C176" s="44">
        <f>+C109+C149</f>
        <v>4522728</v>
      </c>
      <c r="D176" s="33">
        <f>+D109+D149</f>
        <v>4110013</v>
      </c>
      <c r="E176" s="34">
        <f>+E109+E149</f>
        <v>412715</v>
      </c>
      <c r="F176" s="35">
        <f>+F109+F149</f>
        <v>0</v>
      </c>
      <c r="G176" s="776">
        <f>+C176/$C$208</f>
        <v>0.99331323599757004</v>
      </c>
      <c r="H176" s="3">
        <f t="shared" si="11"/>
        <v>0</v>
      </c>
    </row>
    <row r="177" spans="1:9" s="3" customFormat="1" ht="12.75" thickBot="1">
      <c r="A177" s="99" t="s">
        <v>9</v>
      </c>
      <c r="B177" s="86" t="s">
        <v>314</v>
      </c>
      <c r="C177" s="44">
        <f>+C178</f>
        <v>30446</v>
      </c>
      <c r="D177" s="33">
        <f>+D178</f>
        <v>30446</v>
      </c>
      <c r="E177" s="34">
        <f>+E178</f>
        <v>0</v>
      </c>
      <c r="F177" s="35">
        <f>+F178</f>
        <v>0</v>
      </c>
      <c r="G177" s="776">
        <f>+C177/$C$208</f>
        <v>6.6867640024299534E-3</v>
      </c>
      <c r="H177" s="3">
        <f t="shared" si="11"/>
        <v>0</v>
      </c>
      <c r="I177" s="4"/>
    </row>
    <row r="178" spans="1:9" s="3" customFormat="1" ht="12.75" thickBot="1">
      <c r="A178" s="99" t="s">
        <v>45</v>
      </c>
      <c r="B178" s="80" t="s">
        <v>941</v>
      </c>
      <c r="C178" s="44">
        <f>+C179+C189+C190+C191</f>
        <v>30446</v>
      </c>
      <c r="D178" s="33">
        <f>+D179+D189+D190+D191</f>
        <v>30446</v>
      </c>
      <c r="E178" s="34">
        <f>+E179+E189+E190+E191</f>
        <v>0</v>
      </c>
      <c r="F178" s="35">
        <f>+F179+F189+F190+F191</f>
        <v>0</v>
      </c>
      <c r="G178" s="776">
        <f>+C178/$C$208</f>
        <v>6.6867640024299534E-3</v>
      </c>
      <c r="H178" s="3">
        <f t="shared" si="11"/>
        <v>0</v>
      </c>
      <c r="I178" s="14"/>
    </row>
    <row r="179" spans="1:9">
      <c r="A179" s="100" t="s">
        <v>75</v>
      </c>
      <c r="B179" s="81" t="s">
        <v>942</v>
      </c>
      <c r="C179" s="36">
        <f>+C180+C181+C182+C183+C184+C185+C186+C187+C188</f>
        <v>30446</v>
      </c>
      <c r="D179" s="41">
        <f>+D180+D181+D182+D183+D184+D185+D186+D187+D188</f>
        <v>30446</v>
      </c>
      <c r="E179" s="11">
        <f>+E180+E181+E182+E183+E184+E185+E186+E187+E188</f>
        <v>0</v>
      </c>
      <c r="F179" s="42">
        <f>+F180+F181+F182+F183+F184+F185+F186+F187+F188</f>
        <v>0</v>
      </c>
      <c r="H179" s="4">
        <f t="shared" si="11"/>
        <v>0</v>
      </c>
      <c r="I179" s="14"/>
    </row>
    <row r="180" spans="1:9" s="14" customFormat="1">
      <c r="A180" s="102" t="s">
        <v>204</v>
      </c>
      <c r="B180" s="82" t="s">
        <v>169</v>
      </c>
      <c r="C180" s="24">
        <f t="shared" ref="C180:C190" si="14">+D180+E180+F180</f>
        <v>0</v>
      </c>
      <c r="D180" s="20">
        <f>+'1.1.mell._ÖNK_Mérleg2020'!D180+'1.2.mell._HKÖH_Mérleg2020'!D180+'1.3.mell._HVÓBKI_Mérleg2020'!D180+'1.4.mell._HKK_Mérleg2020'!D180+'1.5._mell._MŐSZ_Mérleg2020'!D180+'1.6._mell._HVGYKCSSZ_Mérleg2020'!D180</f>
        <v>0</v>
      </c>
      <c r="E180" s="13">
        <f>+'1.1.mell._ÖNK_Mérleg2020'!E180+'1.2.mell._HKÖH_Mérleg2020'!E180+'1.3.mell._HVÓBKI_Mérleg2020'!E180+'1.4.mell._HKK_Mérleg2020'!E180+'1.5._mell._MŐSZ_Mérleg2020'!E180+'1.6._mell._HVGYKCSSZ_Mérleg2020'!E180</f>
        <v>0</v>
      </c>
      <c r="F180" s="16">
        <f>+'1.1.mell._ÖNK_Mérleg2020'!F180+'1.2.mell._HKÖH_Mérleg2020'!F180+'1.3.mell._HVÓBKI_Mérleg2020'!F180+'1.4.mell._HKK_Mérleg2020'!F180+'1.5._mell._MŐSZ_Mérleg2020'!F180+'1.6._mell._HVGYKCSSZ_Mérleg2020'!F180</f>
        <v>0</v>
      </c>
      <c r="H180" s="14">
        <f t="shared" si="11"/>
        <v>0</v>
      </c>
    </row>
    <row r="181" spans="1:9" s="14" customFormat="1">
      <c r="A181" s="102" t="s">
        <v>205</v>
      </c>
      <c r="B181" s="82" t="s">
        <v>170</v>
      </c>
      <c r="C181" s="24">
        <f t="shared" si="14"/>
        <v>0</v>
      </c>
      <c r="D181" s="20">
        <f>+'1.1.mell._ÖNK_Mérleg2020'!D181+'1.2.mell._HKÖH_Mérleg2020'!D181+'1.3.mell._HVÓBKI_Mérleg2020'!D181+'1.4.mell._HKK_Mérleg2020'!D181+'1.5._mell._MŐSZ_Mérleg2020'!D181+'1.6._mell._HVGYKCSSZ_Mérleg2020'!D181</f>
        <v>0</v>
      </c>
      <c r="E181" s="13">
        <f>+'1.1.mell._ÖNK_Mérleg2020'!E181+'1.2.mell._HKÖH_Mérleg2020'!E181+'1.3.mell._HVÓBKI_Mérleg2020'!E181+'1.4.mell._HKK_Mérleg2020'!E181+'1.5._mell._MŐSZ_Mérleg2020'!E181+'1.6._mell._HVGYKCSSZ_Mérleg2020'!E181</f>
        <v>0</v>
      </c>
      <c r="F181" s="16">
        <f>+'1.1.mell._ÖNK_Mérleg2020'!F181+'1.2.mell._HKÖH_Mérleg2020'!F181+'1.3.mell._HVÓBKI_Mérleg2020'!F181+'1.4.mell._HKK_Mérleg2020'!F181+'1.5._mell._MŐSZ_Mérleg2020'!F181+'1.6._mell._HVGYKCSSZ_Mérleg2020'!F181</f>
        <v>0</v>
      </c>
      <c r="H181" s="14">
        <f t="shared" si="11"/>
        <v>0</v>
      </c>
    </row>
    <row r="182" spans="1:9" s="14" customFormat="1">
      <c r="A182" s="102" t="s">
        <v>206</v>
      </c>
      <c r="B182" s="82" t="s">
        <v>171</v>
      </c>
      <c r="C182" s="24">
        <f t="shared" si="14"/>
        <v>0</v>
      </c>
      <c r="D182" s="20">
        <f>+'1.1.mell._ÖNK_Mérleg2020'!D182+'1.2.mell._HKÖH_Mérleg2020'!D182+'1.3.mell._HVÓBKI_Mérleg2020'!D182+'1.4.mell._HKK_Mérleg2020'!D182+'1.5._mell._MŐSZ_Mérleg2020'!D182+'1.6._mell._HVGYKCSSZ_Mérleg2020'!D182</f>
        <v>0</v>
      </c>
      <c r="E182" s="13">
        <f>+'1.1.mell._ÖNK_Mérleg2020'!E182+'1.2.mell._HKÖH_Mérleg2020'!E182+'1.3.mell._HVÓBKI_Mérleg2020'!E182+'1.4.mell._HKK_Mérleg2020'!E182+'1.5._mell._MŐSZ_Mérleg2020'!E182+'1.6._mell._HVGYKCSSZ_Mérleg2020'!E182</f>
        <v>0</v>
      </c>
      <c r="F182" s="16">
        <f>+'1.1.mell._ÖNK_Mérleg2020'!F182+'1.2.mell._HKÖH_Mérleg2020'!F182+'1.3.mell._HVÓBKI_Mérleg2020'!F182+'1.4.mell._HKK_Mérleg2020'!F182+'1.5._mell._MŐSZ_Mérleg2020'!F182+'1.6._mell._HVGYKCSSZ_Mérleg2020'!F182</f>
        <v>0</v>
      </c>
      <c r="H182" s="14">
        <f t="shared" si="11"/>
        <v>0</v>
      </c>
    </row>
    <row r="183" spans="1:9" s="14" customFormat="1">
      <c r="A183" s="102" t="s">
        <v>207</v>
      </c>
      <c r="B183" s="82" t="s">
        <v>172</v>
      </c>
      <c r="C183" s="24">
        <f t="shared" si="14"/>
        <v>30446</v>
      </c>
      <c r="D183" s="20">
        <f>+'1.1.mell._ÖNK_Mérleg2020'!D183+'1.2.mell._HKÖH_Mérleg2020'!D183+'1.3.mell._HVÓBKI_Mérleg2020'!D183+'1.4.mell._HKK_Mérleg2020'!D183+'1.5._mell._MŐSZ_Mérleg2020'!D183+'1.6._mell._HVGYKCSSZ_Mérleg2020'!D183</f>
        <v>30446</v>
      </c>
      <c r="E183" s="13">
        <f>+'1.1.mell._ÖNK_Mérleg2020'!E183+'1.2.mell._HKÖH_Mérleg2020'!E183+'1.3.mell._HVÓBKI_Mérleg2020'!E183+'1.4.mell._HKK_Mérleg2020'!E183+'1.5._mell._MŐSZ_Mérleg2020'!E183+'1.6._mell._HVGYKCSSZ_Mérleg2020'!E183</f>
        <v>0</v>
      </c>
      <c r="F183" s="16">
        <f>+'1.1.mell._ÖNK_Mérleg2020'!F183+'1.2.mell._HKÖH_Mérleg2020'!F183+'1.3.mell._HVÓBKI_Mérleg2020'!F183+'1.4.mell._HKK_Mérleg2020'!F183+'1.5._mell._MŐSZ_Mérleg2020'!F183+'1.6._mell._HVGYKCSSZ_Mérleg2020'!F183</f>
        <v>0</v>
      </c>
      <c r="H183" s="14">
        <f t="shared" si="11"/>
        <v>0</v>
      </c>
    </row>
    <row r="184" spans="1:9" s="14" customFormat="1">
      <c r="A184" s="121" t="s">
        <v>208</v>
      </c>
      <c r="B184" s="122" t="s">
        <v>173</v>
      </c>
      <c r="C184" s="123"/>
      <c r="D184" s="124"/>
      <c r="E184" s="125"/>
      <c r="F184" s="126"/>
      <c r="H184" s="140">
        <f t="shared" si="11"/>
        <v>0</v>
      </c>
    </row>
    <row r="185" spans="1:9" s="14" customFormat="1">
      <c r="A185" s="102" t="s">
        <v>209</v>
      </c>
      <c r="B185" s="82" t="s">
        <v>178</v>
      </c>
      <c r="C185" s="24">
        <f t="shared" si="14"/>
        <v>0</v>
      </c>
      <c r="D185" s="20">
        <f>+'1.1.mell._ÖNK_Mérleg2020'!D185+'1.2.mell._HKÖH_Mérleg2020'!D185+'1.3.mell._HVÓBKI_Mérleg2020'!D185+'1.4.mell._HKK_Mérleg2020'!D185+'1.5._mell._MŐSZ_Mérleg2020'!D185+'1.6._mell._HVGYKCSSZ_Mérleg2020'!D185</f>
        <v>0</v>
      </c>
      <c r="E185" s="13">
        <f>+'1.1.mell._ÖNK_Mérleg2020'!E185+'1.2.mell._HKÖH_Mérleg2020'!E185+'1.3.mell._HVÓBKI_Mérleg2020'!E185+'1.4.mell._HKK_Mérleg2020'!E185+'1.5._mell._MŐSZ_Mérleg2020'!E185+'1.6._mell._HVGYKCSSZ_Mérleg2020'!E185</f>
        <v>0</v>
      </c>
      <c r="F185" s="16">
        <f>+'1.1.mell._ÖNK_Mérleg2020'!F185+'1.2.mell._HKÖH_Mérleg2020'!F185+'1.3.mell._HVÓBKI_Mérleg2020'!F185+'1.4.mell._HKK_Mérleg2020'!F185+'1.5._mell._MŐSZ_Mérleg2020'!F185+'1.6._mell._HVGYKCSSZ_Mérleg2020'!F185</f>
        <v>0</v>
      </c>
      <c r="H185" s="14">
        <f t="shared" si="11"/>
        <v>0</v>
      </c>
    </row>
    <row r="186" spans="1:9" s="14" customFormat="1">
      <c r="A186" s="102" t="s">
        <v>210</v>
      </c>
      <c r="B186" s="82" t="s">
        <v>174</v>
      </c>
      <c r="C186" s="24">
        <f t="shared" si="14"/>
        <v>0</v>
      </c>
      <c r="D186" s="20">
        <f>+'1.1.mell._ÖNK_Mérleg2020'!D186+'1.2.mell._HKÖH_Mérleg2020'!D186+'1.3.mell._HVÓBKI_Mérleg2020'!D186+'1.4.mell._HKK_Mérleg2020'!D186+'1.5._mell._MŐSZ_Mérleg2020'!D186+'1.6._mell._HVGYKCSSZ_Mérleg2020'!D186</f>
        <v>0</v>
      </c>
      <c r="E186" s="13">
        <f>+'1.1.mell._ÖNK_Mérleg2020'!E186+'1.2.mell._HKÖH_Mérleg2020'!E186+'1.3.mell._HVÓBKI_Mérleg2020'!E186+'1.4.mell._HKK_Mérleg2020'!E186+'1.5._mell._MŐSZ_Mérleg2020'!E186+'1.6._mell._HVGYKCSSZ_Mérleg2020'!E186</f>
        <v>0</v>
      </c>
      <c r="F186" s="16">
        <f>+'1.1.mell._ÖNK_Mérleg2020'!F186+'1.2.mell._HKÖH_Mérleg2020'!F186+'1.3.mell._HVÓBKI_Mérleg2020'!F186+'1.4.mell._HKK_Mérleg2020'!F186+'1.5._mell._MŐSZ_Mérleg2020'!F186+'1.6._mell._HVGYKCSSZ_Mérleg2020'!F186</f>
        <v>0</v>
      </c>
      <c r="H186" s="14">
        <f t="shared" si="11"/>
        <v>0</v>
      </c>
    </row>
    <row r="187" spans="1:9" s="14" customFormat="1">
      <c r="A187" s="102" t="s">
        <v>211</v>
      </c>
      <c r="B187" s="82" t="s">
        <v>175</v>
      </c>
      <c r="C187" s="24">
        <f t="shared" si="14"/>
        <v>0</v>
      </c>
      <c r="D187" s="20">
        <f>+'1.1.mell._ÖNK_Mérleg2020'!D187+'1.2.mell._HKÖH_Mérleg2020'!D187+'1.3.mell._HVÓBKI_Mérleg2020'!D187+'1.4.mell._HKK_Mérleg2020'!D187+'1.5._mell._MŐSZ_Mérleg2020'!D187+'1.6._mell._HVGYKCSSZ_Mérleg2020'!D187</f>
        <v>0</v>
      </c>
      <c r="E187" s="13">
        <f>+'1.1.mell._ÖNK_Mérleg2020'!E187+'1.2.mell._HKÖH_Mérleg2020'!E187+'1.3.mell._HVÓBKI_Mérleg2020'!E187+'1.4.mell._HKK_Mérleg2020'!E187+'1.5._mell._MŐSZ_Mérleg2020'!E187+'1.6._mell._HVGYKCSSZ_Mérleg2020'!E187</f>
        <v>0</v>
      </c>
      <c r="F187" s="16">
        <f>+'1.1.mell._ÖNK_Mérleg2020'!F187+'1.2.mell._HKÖH_Mérleg2020'!F187+'1.3.mell._HVÓBKI_Mérleg2020'!F187+'1.4.mell._HKK_Mérleg2020'!F187+'1.5._mell._MŐSZ_Mérleg2020'!F187+'1.6._mell._HVGYKCSSZ_Mérleg2020'!F187</f>
        <v>0</v>
      </c>
      <c r="H187" s="14">
        <f t="shared" si="11"/>
        <v>0</v>
      </c>
      <c r="I187" s="4"/>
    </row>
    <row r="188" spans="1:9" s="14" customFormat="1">
      <c r="A188" s="102" t="s">
        <v>935</v>
      </c>
      <c r="B188" s="82" t="s">
        <v>937</v>
      </c>
      <c r="C188" s="24">
        <f>+D188+E188+F188</f>
        <v>0</v>
      </c>
      <c r="D188" s="20">
        <f>+'1.1.mell._ÖNK_Mérleg2020'!D188+'1.2.mell._HKÖH_Mérleg2020'!D188+'1.3.mell._HVÓBKI_Mérleg2020'!D188+'1.4.mell._HKK_Mérleg2020'!D188+'1.5._mell._MŐSZ_Mérleg2020'!D188+'1.6._mell._HVGYKCSSZ_Mérleg2020'!D188</f>
        <v>0</v>
      </c>
      <c r="E188" s="13">
        <f>+'1.1.mell._ÖNK_Mérleg2020'!E188+'1.2.mell._HKÖH_Mérleg2020'!E188+'1.3.mell._HVÓBKI_Mérleg2020'!E188+'1.4.mell._HKK_Mérleg2020'!E188+'1.5._mell._MŐSZ_Mérleg2020'!E188+'1.6._mell._HVGYKCSSZ_Mérleg2020'!E188</f>
        <v>0</v>
      </c>
      <c r="F188" s="16">
        <f>+'1.1.mell._ÖNK_Mérleg2020'!F188+'1.2.mell._HKÖH_Mérleg2020'!F188+'1.3.mell._HVÓBKI_Mérleg2020'!F188+'1.4.mell._HKK_Mérleg2020'!F188+'1.5._mell._MŐSZ_Mérleg2020'!F188+'1.6._mell._HVGYKCSSZ_Mérleg2020'!F188</f>
        <v>0</v>
      </c>
      <c r="H188" s="14">
        <f t="shared" si="11"/>
        <v>0</v>
      </c>
      <c r="I188" s="4"/>
    </row>
    <row r="189" spans="1:9">
      <c r="A189" s="101" t="s">
        <v>76</v>
      </c>
      <c r="B189" s="83" t="s">
        <v>176</v>
      </c>
      <c r="C189" s="23">
        <f t="shared" si="14"/>
        <v>0</v>
      </c>
      <c r="D189" s="21">
        <f>+'1.1.mell._ÖNK_Mérleg2020'!D189+'1.2.mell._HKÖH_Mérleg2020'!D189+'1.3.mell._HVÓBKI_Mérleg2020'!D189+'1.4.mell._HKK_Mérleg2020'!D189+'1.5._mell._MŐSZ_Mérleg2020'!D189+'1.6._mell._HVGYKCSSZ_Mérleg2020'!D189</f>
        <v>0</v>
      </c>
      <c r="E189" s="12">
        <f>+'1.1.mell._ÖNK_Mérleg2020'!E189+'1.2.mell._HKÖH_Mérleg2020'!E189+'1.3.mell._HVÓBKI_Mérleg2020'!E189+'1.4.mell._HKK_Mérleg2020'!E189+'1.5._mell._MŐSZ_Mérleg2020'!E189+'1.6._mell._HVGYKCSSZ_Mérleg2020'!E189</f>
        <v>0</v>
      </c>
      <c r="F189" s="17">
        <f>+'1.1.mell._ÖNK_Mérleg2020'!F189+'1.2.mell._HKÖH_Mérleg2020'!F189+'1.3.mell._HVÓBKI_Mérleg2020'!F189+'1.4.mell._HKK_Mérleg2020'!F189+'1.5._mell._MŐSZ_Mérleg2020'!F189+'1.6._mell._HVGYKCSSZ_Mérleg2020'!F189</f>
        <v>0</v>
      </c>
      <c r="H189" s="4">
        <f t="shared" si="11"/>
        <v>0</v>
      </c>
    </row>
    <row r="190" spans="1:9">
      <c r="A190" s="94" t="s">
        <v>77</v>
      </c>
      <c r="B190" s="84" t="s">
        <v>177</v>
      </c>
      <c r="C190" s="26">
        <f t="shared" si="14"/>
        <v>0</v>
      </c>
      <c r="D190" s="27">
        <f>+'1.1.mell._ÖNK_Mérleg2020'!D190+'1.2.mell._HKÖH_Mérleg2020'!D190+'1.3.mell._HVÓBKI_Mérleg2020'!D190+'1.4.mell._HKK_Mérleg2020'!D190+'1.5._mell._MŐSZ_Mérleg2020'!D190+'1.6._mell._HVGYKCSSZ_Mérleg2020'!D190</f>
        <v>0</v>
      </c>
      <c r="E190" s="28">
        <f>+'1.1.mell._ÖNK_Mérleg2020'!E190+'1.2.mell._HKÖH_Mérleg2020'!E190+'1.3.mell._HVÓBKI_Mérleg2020'!E190+'1.4.mell._HKK_Mérleg2020'!E190+'1.5._mell._MŐSZ_Mérleg2020'!E190+'1.6._mell._HVGYKCSSZ_Mérleg2020'!E190</f>
        <v>0</v>
      </c>
      <c r="F190" s="29">
        <f>+'1.1.mell._ÖNK_Mérleg2020'!F190+'1.2.mell._HKÖH_Mérleg2020'!F190+'1.3.mell._HVÓBKI_Mérleg2020'!F190+'1.4.mell._HKK_Mérleg2020'!F190+'1.5._mell._MŐSZ_Mérleg2020'!F190+'1.6._mell._HVGYKCSSZ_Mérleg2020'!F190</f>
        <v>0</v>
      </c>
      <c r="H190" s="4">
        <f t="shared" si="11"/>
        <v>0</v>
      </c>
      <c r="I190" s="3"/>
    </row>
    <row r="191" spans="1:9" ht="12.75" thickBot="1">
      <c r="A191" s="94" t="s">
        <v>940</v>
      </c>
      <c r="B191" s="84" t="s">
        <v>938</v>
      </c>
      <c r="C191" s="26">
        <f>+D191+E191+F191</f>
        <v>0</v>
      </c>
      <c r="D191" s="27">
        <f>+'1.1.mell._ÖNK_Mérleg2020'!D191+'1.2.mell._HKÖH_Mérleg2020'!D191+'1.3.mell._HVÓBKI_Mérleg2020'!D191+'1.4.mell._HKK_Mérleg2020'!D191+'1.5._mell._MŐSZ_Mérleg2020'!D191+'1.6._mell._HVGYKCSSZ_Mérleg2020'!D191</f>
        <v>0</v>
      </c>
      <c r="E191" s="28">
        <f>+'1.1.mell._ÖNK_Mérleg2020'!E191+'1.2.mell._HKÖH_Mérleg2020'!E191+'1.3.mell._HVÓBKI_Mérleg2020'!E191+'1.4.mell._HKK_Mérleg2020'!E191+'1.5._mell._MŐSZ_Mérleg2020'!E191+'1.6._mell._HVGYKCSSZ_Mérleg2020'!E191</f>
        <v>0</v>
      </c>
      <c r="F191" s="29">
        <f>+'1.1.mell._ÖNK_Mérleg2020'!F191+'1.2.mell._HKÖH_Mérleg2020'!F191+'1.3.mell._HVÓBKI_Mérleg2020'!F191+'1.4.mell._HKK_Mérleg2020'!F191+'1.5._mell._MŐSZ_Mérleg2020'!F191+'1.6._mell._HVGYKCSSZ_Mérleg2020'!F191</f>
        <v>0</v>
      </c>
      <c r="H191" s="4">
        <f t="shared" si="11"/>
        <v>0</v>
      </c>
      <c r="I191" s="3"/>
    </row>
    <row r="192" spans="1:9" s="3" customFormat="1" ht="12.75" thickBot="1">
      <c r="A192" s="99" t="s">
        <v>44</v>
      </c>
      <c r="B192" s="85" t="s">
        <v>315</v>
      </c>
      <c r="C192" s="44">
        <f>+C193</f>
        <v>0</v>
      </c>
      <c r="D192" s="33">
        <f>+D193</f>
        <v>0</v>
      </c>
      <c r="E192" s="34">
        <f>+E193</f>
        <v>0</v>
      </c>
      <c r="F192" s="35">
        <f>+F193</f>
        <v>0</v>
      </c>
      <c r="G192" s="776">
        <f>+C192/$C$208</f>
        <v>0</v>
      </c>
      <c r="H192" s="3">
        <f t="shared" si="11"/>
        <v>0</v>
      </c>
      <c r="I192" s="4"/>
    </row>
    <row r="193" spans="1:9" s="3" customFormat="1" ht="12.75" thickBot="1">
      <c r="A193" s="99" t="s">
        <v>43</v>
      </c>
      <c r="B193" s="80" t="s">
        <v>936</v>
      </c>
      <c r="C193" s="44">
        <f>+C194+C204+C205+C206</f>
        <v>0</v>
      </c>
      <c r="D193" s="33">
        <f>+D194+D204+D205+D206</f>
        <v>0</v>
      </c>
      <c r="E193" s="34">
        <f>+E194+E204+E205+E206</f>
        <v>0</v>
      </c>
      <c r="F193" s="35">
        <f>+F194+F204+F205+F206</f>
        <v>0</v>
      </c>
      <c r="G193" s="776">
        <f>+C193/$C$208</f>
        <v>0</v>
      </c>
      <c r="H193" s="3">
        <f t="shared" si="11"/>
        <v>0</v>
      </c>
      <c r="I193" s="14"/>
    </row>
    <row r="194" spans="1:9">
      <c r="A194" s="100" t="s">
        <v>78</v>
      </c>
      <c r="B194" s="81" t="s">
        <v>971</v>
      </c>
      <c r="C194" s="36">
        <f>+C195+C196+C197+C198+C199+C200+C201+C202+C203</f>
        <v>0</v>
      </c>
      <c r="D194" s="41">
        <f>+D195+D196+D197+D198+D199+D200+D201+D202+D203</f>
        <v>0</v>
      </c>
      <c r="E194" s="11">
        <f>+E195+E196+E197+E198+E199+E200+E201+E202+E203</f>
        <v>0</v>
      </c>
      <c r="F194" s="42">
        <f>+F195+F196+F197+F198+F199+F200+F201+F202+F203</f>
        <v>0</v>
      </c>
      <c r="H194" s="4">
        <f t="shared" si="11"/>
        <v>0</v>
      </c>
      <c r="I194" s="14"/>
    </row>
    <row r="195" spans="1:9" s="14" customFormat="1">
      <c r="A195" s="102" t="s">
        <v>212</v>
      </c>
      <c r="B195" s="82" t="s">
        <v>169</v>
      </c>
      <c r="C195" s="24">
        <f t="shared" ref="C195:C205" si="15">+D195+E195+F195</f>
        <v>0</v>
      </c>
      <c r="D195" s="20">
        <f>+'1.1.mell._ÖNK_Mérleg2020'!D195+'1.2.mell._HKÖH_Mérleg2020'!D195+'1.3.mell._HVÓBKI_Mérleg2020'!D195+'1.4.mell._HKK_Mérleg2020'!D195+'1.5._mell._MŐSZ_Mérleg2020'!D195+'1.6._mell._HVGYKCSSZ_Mérleg2020'!D195</f>
        <v>0</v>
      </c>
      <c r="E195" s="13">
        <f>+'1.1.mell._ÖNK_Mérleg2020'!E195+'1.2.mell._HKÖH_Mérleg2020'!E195+'1.3.mell._HVÓBKI_Mérleg2020'!E195+'1.4.mell._HKK_Mérleg2020'!E195+'1.5._mell._MŐSZ_Mérleg2020'!E195+'1.6._mell._HVGYKCSSZ_Mérleg2020'!E195</f>
        <v>0</v>
      </c>
      <c r="F195" s="16">
        <f>+'1.1.mell._ÖNK_Mérleg2020'!F195+'1.2.mell._HKÖH_Mérleg2020'!F195+'1.3.mell._HVÓBKI_Mérleg2020'!F195+'1.4.mell._HKK_Mérleg2020'!F195+'1.5._mell._MŐSZ_Mérleg2020'!F195+'1.6._mell._HVGYKCSSZ_Mérleg2020'!F195</f>
        <v>0</v>
      </c>
      <c r="H195" s="14">
        <f t="shared" si="11"/>
        <v>0</v>
      </c>
    </row>
    <row r="196" spans="1:9" s="14" customFormat="1">
      <c r="A196" s="102" t="s">
        <v>213</v>
      </c>
      <c r="B196" s="82" t="s">
        <v>170</v>
      </c>
      <c r="C196" s="24">
        <f t="shared" si="15"/>
        <v>0</v>
      </c>
      <c r="D196" s="20">
        <f>+'1.1.mell._ÖNK_Mérleg2020'!D196+'1.2.mell._HKÖH_Mérleg2020'!D196+'1.3.mell._HVÓBKI_Mérleg2020'!D196+'1.4.mell._HKK_Mérleg2020'!D196+'1.5._mell._MŐSZ_Mérleg2020'!D196+'1.6._mell._HVGYKCSSZ_Mérleg2020'!D196</f>
        <v>0</v>
      </c>
      <c r="E196" s="13">
        <f>+'1.1.mell._ÖNK_Mérleg2020'!E196+'1.2.mell._HKÖH_Mérleg2020'!E196+'1.3.mell._HVÓBKI_Mérleg2020'!E196+'1.4.mell._HKK_Mérleg2020'!E196+'1.5._mell._MŐSZ_Mérleg2020'!E196+'1.6._mell._HVGYKCSSZ_Mérleg2020'!E196</f>
        <v>0</v>
      </c>
      <c r="F196" s="16">
        <f>+'1.1.mell._ÖNK_Mérleg2020'!F196+'1.2.mell._HKÖH_Mérleg2020'!F196+'1.3.mell._HVÓBKI_Mérleg2020'!F196+'1.4.mell._HKK_Mérleg2020'!F196+'1.5._mell._MŐSZ_Mérleg2020'!F196+'1.6._mell._HVGYKCSSZ_Mérleg2020'!F196</f>
        <v>0</v>
      </c>
      <c r="H196" s="14">
        <f t="shared" si="11"/>
        <v>0</v>
      </c>
    </row>
    <row r="197" spans="1:9" s="14" customFormat="1">
      <c r="A197" s="102" t="s">
        <v>214</v>
      </c>
      <c r="B197" s="82" t="s">
        <v>171</v>
      </c>
      <c r="C197" s="24">
        <f t="shared" si="15"/>
        <v>0</v>
      </c>
      <c r="D197" s="20">
        <f>+'1.1.mell._ÖNK_Mérleg2020'!D197+'1.2.mell._HKÖH_Mérleg2020'!D197+'1.3.mell._HVÓBKI_Mérleg2020'!D197+'1.4.mell._HKK_Mérleg2020'!D197+'1.5._mell._MŐSZ_Mérleg2020'!D197+'1.6._mell._HVGYKCSSZ_Mérleg2020'!D197</f>
        <v>0</v>
      </c>
      <c r="E197" s="13">
        <f>+'1.1.mell._ÖNK_Mérleg2020'!E197+'1.2.mell._HKÖH_Mérleg2020'!E197+'1.3.mell._HVÓBKI_Mérleg2020'!E197+'1.4.mell._HKK_Mérleg2020'!E197+'1.5._mell._MŐSZ_Mérleg2020'!E197+'1.6._mell._HVGYKCSSZ_Mérleg2020'!E197</f>
        <v>0</v>
      </c>
      <c r="F197" s="16">
        <f>+'1.1.mell._ÖNK_Mérleg2020'!F197+'1.2.mell._HKÖH_Mérleg2020'!F197+'1.3.mell._HVÓBKI_Mérleg2020'!F197+'1.4.mell._HKK_Mérleg2020'!F197+'1.5._mell._MŐSZ_Mérleg2020'!F197+'1.6._mell._HVGYKCSSZ_Mérleg2020'!F197</f>
        <v>0</v>
      </c>
      <c r="H197" s="14">
        <f t="shared" si="11"/>
        <v>0</v>
      </c>
    </row>
    <row r="198" spans="1:9" s="14" customFormat="1">
      <c r="A198" s="102" t="s">
        <v>215</v>
      </c>
      <c r="B198" s="82" t="s">
        <v>172</v>
      </c>
      <c r="C198" s="24">
        <f t="shared" si="15"/>
        <v>0</v>
      </c>
      <c r="D198" s="20">
        <f>+'1.1.mell._ÖNK_Mérleg2020'!D198+'1.2.mell._HKÖH_Mérleg2020'!D198+'1.3.mell._HVÓBKI_Mérleg2020'!D198+'1.4.mell._HKK_Mérleg2020'!D198+'1.5._mell._MŐSZ_Mérleg2020'!D198+'1.6._mell._HVGYKCSSZ_Mérleg2020'!D198</f>
        <v>0</v>
      </c>
      <c r="E198" s="13">
        <f>+'1.1.mell._ÖNK_Mérleg2020'!E198+'1.2.mell._HKÖH_Mérleg2020'!E198+'1.3.mell._HVÓBKI_Mérleg2020'!E198+'1.4.mell._HKK_Mérleg2020'!E198+'1.5._mell._MŐSZ_Mérleg2020'!E198+'1.6._mell._HVGYKCSSZ_Mérleg2020'!E198</f>
        <v>0</v>
      </c>
      <c r="F198" s="16">
        <f>+'1.1.mell._ÖNK_Mérleg2020'!F198+'1.2.mell._HKÖH_Mérleg2020'!F198+'1.3.mell._HVÓBKI_Mérleg2020'!F198+'1.4.mell._HKK_Mérleg2020'!F198+'1.5._mell._MŐSZ_Mérleg2020'!F198+'1.6._mell._HVGYKCSSZ_Mérleg2020'!F198</f>
        <v>0</v>
      </c>
      <c r="H198" s="14">
        <f t="shared" si="11"/>
        <v>0</v>
      </c>
    </row>
    <row r="199" spans="1:9" s="14" customFormat="1">
      <c r="A199" s="121" t="s">
        <v>216</v>
      </c>
      <c r="B199" s="122" t="s">
        <v>173</v>
      </c>
      <c r="C199" s="123"/>
      <c r="D199" s="124"/>
      <c r="E199" s="125"/>
      <c r="F199" s="126"/>
      <c r="H199" s="140">
        <f t="shared" si="11"/>
        <v>0</v>
      </c>
    </row>
    <row r="200" spans="1:9" s="14" customFormat="1">
      <c r="A200" s="102" t="s">
        <v>217</v>
      </c>
      <c r="B200" s="82" t="s">
        <v>178</v>
      </c>
      <c r="C200" s="24">
        <f t="shared" si="15"/>
        <v>0</v>
      </c>
      <c r="D200" s="20">
        <f>+'1.1.mell._ÖNK_Mérleg2020'!D200+'1.2.mell._HKÖH_Mérleg2020'!D200+'1.3.mell._HVÓBKI_Mérleg2020'!D200+'1.4.mell._HKK_Mérleg2020'!D200+'1.5._mell._MŐSZ_Mérleg2020'!D200+'1.6._mell._HVGYKCSSZ_Mérleg2020'!D200</f>
        <v>0</v>
      </c>
      <c r="E200" s="13">
        <f>+'1.1.mell._ÖNK_Mérleg2020'!E200+'1.2.mell._HKÖH_Mérleg2020'!E200+'1.3.mell._HVÓBKI_Mérleg2020'!E200+'1.4.mell._HKK_Mérleg2020'!E200+'1.5._mell._MŐSZ_Mérleg2020'!E200+'1.6._mell._HVGYKCSSZ_Mérleg2020'!E200</f>
        <v>0</v>
      </c>
      <c r="F200" s="16">
        <f>+'1.1.mell._ÖNK_Mérleg2020'!F200+'1.2.mell._HKÖH_Mérleg2020'!F200+'1.3.mell._HVÓBKI_Mérleg2020'!F200+'1.4.mell._HKK_Mérleg2020'!F200+'1.5._mell._MŐSZ_Mérleg2020'!F200+'1.6._mell._HVGYKCSSZ_Mérleg2020'!F200</f>
        <v>0</v>
      </c>
      <c r="H200" s="14">
        <f t="shared" si="11"/>
        <v>0</v>
      </c>
    </row>
    <row r="201" spans="1:9" s="14" customFormat="1">
      <c r="A201" s="102" t="s">
        <v>218</v>
      </c>
      <c r="B201" s="82" t="s">
        <v>174</v>
      </c>
      <c r="C201" s="24">
        <f t="shared" si="15"/>
        <v>0</v>
      </c>
      <c r="D201" s="20">
        <f>+'1.1.mell._ÖNK_Mérleg2020'!D201+'1.2.mell._HKÖH_Mérleg2020'!D201+'1.3.mell._HVÓBKI_Mérleg2020'!D201+'1.4.mell._HKK_Mérleg2020'!D201+'1.5._mell._MŐSZ_Mérleg2020'!D201+'1.6._mell._HVGYKCSSZ_Mérleg2020'!D201</f>
        <v>0</v>
      </c>
      <c r="E201" s="13">
        <f>+'1.1.mell._ÖNK_Mérleg2020'!E201+'1.2.mell._HKÖH_Mérleg2020'!E201+'1.3.mell._HVÓBKI_Mérleg2020'!E201+'1.4.mell._HKK_Mérleg2020'!E201+'1.5._mell._MŐSZ_Mérleg2020'!E201+'1.6._mell._HVGYKCSSZ_Mérleg2020'!E201</f>
        <v>0</v>
      </c>
      <c r="F201" s="16">
        <f>+'1.1.mell._ÖNK_Mérleg2020'!F201+'1.2.mell._HKÖH_Mérleg2020'!F201+'1.3.mell._HVÓBKI_Mérleg2020'!F201+'1.4.mell._HKK_Mérleg2020'!F201+'1.5._mell._MŐSZ_Mérleg2020'!F201+'1.6._mell._HVGYKCSSZ_Mérleg2020'!F201</f>
        <v>0</v>
      </c>
      <c r="H201" s="14">
        <f t="shared" si="11"/>
        <v>0</v>
      </c>
    </row>
    <row r="202" spans="1:9" s="14" customFormat="1">
      <c r="A202" s="102" t="s">
        <v>219</v>
      </c>
      <c r="B202" s="82" t="s">
        <v>175</v>
      </c>
      <c r="C202" s="24">
        <f t="shared" si="15"/>
        <v>0</v>
      </c>
      <c r="D202" s="20">
        <f>+'1.1.mell._ÖNK_Mérleg2020'!D202+'1.2.mell._HKÖH_Mérleg2020'!D202+'1.3.mell._HVÓBKI_Mérleg2020'!D202+'1.4.mell._HKK_Mérleg2020'!D202+'1.5._mell._MŐSZ_Mérleg2020'!D202+'1.6._mell._HVGYKCSSZ_Mérleg2020'!D202</f>
        <v>0</v>
      </c>
      <c r="E202" s="13">
        <f>+'1.1.mell._ÖNK_Mérleg2020'!E202+'1.2.mell._HKÖH_Mérleg2020'!E202+'1.3.mell._HVÓBKI_Mérleg2020'!E202+'1.4.mell._HKK_Mérleg2020'!E202+'1.5._mell._MŐSZ_Mérleg2020'!E202+'1.6._mell._HVGYKCSSZ_Mérleg2020'!E202</f>
        <v>0</v>
      </c>
      <c r="F202" s="16">
        <f>+'1.1.mell._ÖNK_Mérleg2020'!F202+'1.2.mell._HKÖH_Mérleg2020'!F202+'1.3.mell._HVÓBKI_Mérleg2020'!F202+'1.4.mell._HKK_Mérleg2020'!F202+'1.5._mell._MŐSZ_Mérleg2020'!F202+'1.6._mell._HVGYKCSSZ_Mérleg2020'!F202</f>
        <v>0</v>
      </c>
      <c r="H202" s="14">
        <f t="shared" si="11"/>
        <v>0</v>
      </c>
      <c r="I202" s="4"/>
    </row>
    <row r="203" spans="1:9" s="14" customFormat="1">
      <c r="A203" s="102" t="s">
        <v>935</v>
      </c>
      <c r="B203" s="82" t="s">
        <v>937</v>
      </c>
      <c r="C203" s="24">
        <f>+D203+E203+F203</f>
        <v>0</v>
      </c>
      <c r="D203" s="20">
        <f>+'1.1.mell._ÖNK_Mérleg2020'!D203+'1.2.mell._HKÖH_Mérleg2020'!D203+'1.3.mell._HVÓBKI_Mérleg2020'!D203+'1.4.mell._HKK_Mérleg2020'!D203+'1.5._mell._MŐSZ_Mérleg2020'!D203+'1.6._mell._HVGYKCSSZ_Mérleg2020'!D203</f>
        <v>0</v>
      </c>
      <c r="E203" s="13">
        <f>+'1.1.mell._ÖNK_Mérleg2020'!E203+'1.2.mell._HKÖH_Mérleg2020'!E203+'1.3.mell._HVÓBKI_Mérleg2020'!E203+'1.4.mell._HKK_Mérleg2020'!E203+'1.5._mell._MŐSZ_Mérleg2020'!E203+'1.6._mell._HVGYKCSSZ_Mérleg2020'!E203</f>
        <v>0</v>
      </c>
      <c r="F203" s="16">
        <f>+'1.1.mell._ÖNK_Mérleg2020'!F203+'1.2.mell._HKÖH_Mérleg2020'!F203+'1.3.mell._HVÓBKI_Mérleg2020'!F203+'1.4.mell._HKK_Mérleg2020'!F203+'1.5._mell._MŐSZ_Mérleg2020'!F203+'1.6._mell._HVGYKCSSZ_Mérleg2020'!F203</f>
        <v>0</v>
      </c>
      <c r="H203" s="14">
        <f t="shared" ref="H203:H242" si="16">+C203-D203-E203-F203</f>
        <v>0</v>
      </c>
      <c r="I203" s="4"/>
    </row>
    <row r="204" spans="1:9">
      <c r="A204" s="101" t="s">
        <v>79</v>
      </c>
      <c r="B204" s="83" t="s">
        <v>176</v>
      </c>
      <c r="C204" s="23">
        <f t="shared" si="15"/>
        <v>0</v>
      </c>
      <c r="D204" s="21">
        <f>+'1.1.mell._ÖNK_Mérleg2020'!D204+'1.2.mell._HKÖH_Mérleg2020'!D204+'1.3.mell._HVÓBKI_Mérleg2020'!D204+'1.4.mell._HKK_Mérleg2020'!D204+'1.5._mell._MŐSZ_Mérleg2020'!D204+'1.6._mell._HVGYKCSSZ_Mérleg2020'!D204</f>
        <v>0</v>
      </c>
      <c r="E204" s="12">
        <f>+'1.1.mell._ÖNK_Mérleg2020'!E204+'1.2.mell._HKÖH_Mérleg2020'!E204+'1.3.mell._HVÓBKI_Mérleg2020'!E204+'1.4.mell._HKK_Mérleg2020'!E204+'1.5._mell._MŐSZ_Mérleg2020'!E204+'1.6._mell._HVGYKCSSZ_Mérleg2020'!E204</f>
        <v>0</v>
      </c>
      <c r="F204" s="17">
        <f>+'1.1.mell._ÖNK_Mérleg2020'!F204+'1.2.mell._HKÖH_Mérleg2020'!F204+'1.3.mell._HVÓBKI_Mérleg2020'!F204+'1.4.mell._HKK_Mérleg2020'!F204+'1.5._mell._MŐSZ_Mérleg2020'!F204+'1.6._mell._HVGYKCSSZ_Mérleg2020'!F204</f>
        <v>0</v>
      </c>
      <c r="H204" s="4">
        <f t="shared" si="16"/>
        <v>0</v>
      </c>
    </row>
    <row r="205" spans="1:9">
      <c r="A205" s="94" t="s">
        <v>220</v>
      </c>
      <c r="B205" s="84" t="s">
        <v>177</v>
      </c>
      <c r="C205" s="26">
        <f t="shared" si="15"/>
        <v>0</v>
      </c>
      <c r="D205" s="27">
        <f>+'1.1.mell._ÖNK_Mérleg2020'!D205+'1.2.mell._HKÖH_Mérleg2020'!D205+'1.3.mell._HVÓBKI_Mérleg2020'!D205+'1.4.mell._HKK_Mérleg2020'!D205+'1.5._mell._MŐSZ_Mérleg2020'!D205+'1.6._mell._HVGYKCSSZ_Mérleg2020'!D205</f>
        <v>0</v>
      </c>
      <c r="E205" s="28">
        <f>+'1.1.mell._ÖNK_Mérleg2020'!E205+'1.2.mell._HKÖH_Mérleg2020'!E205+'1.3.mell._HVÓBKI_Mérleg2020'!E205+'1.4.mell._HKK_Mérleg2020'!E205+'1.5._mell._MŐSZ_Mérleg2020'!E205+'1.6._mell._HVGYKCSSZ_Mérleg2020'!E205</f>
        <v>0</v>
      </c>
      <c r="F205" s="29">
        <f>+'1.1.mell._ÖNK_Mérleg2020'!F205+'1.2.mell._HKÖH_Mérleg2020'!F205+'1.3.mell._HVÓBKI_Mérleg2020'!F205+'1.4.mell._HKK_Mérleg2020'!F205+'1.5._mell._MŐSZ_Mérleg2020'!F205+'1.6._mell._HVGYKCSSZ_Mérleg2020'!F205</f>
        <v>0</v>
      </c>
      <c r="H205" s="4">
        <f t="shared" si="16"/>
        <v>0</v>
      </c>
      <c r="I205" s="3"/>
    </row>
    <row r="206" spans="1:9" ht="12.75" thickBot="1">
      <c r="A206" s="94" t="s">
        <v>939</v>
      </c>
      <c r="B206" s="84" t="s">
        <v>938</v>
      </c>
      <c r="C206" s="26">
        <f>+D206+E206+F206</f>
        <v>0</v>
      </c>
      <c r="D206" s="27">
        <f>+'1.1.mell._ÖNK_Mérleg2020'!D206+'1.2.mell._HKÖH_Mérleg2020'!D206+'1.3.mell._HVÓBKI_Mérleg2020'!D206+'1.4.mell._HKK_Mérleg2020'!D206+'1.5._mell._MŐSZ_Mérleg2020'!D206+'1.6._mell._HVGYKCSSZ_Mérleg2020'!D206</f>
        <v>0</v>
      </c>
      <c r="E206" s="28">
        <f>+'1.1.mell._ÖNK_Mérleg2020'!E206+'1.2.mell._HKÖH_Mérleg2020'!E206+'1.3.mell._HVÓBKI_Mérleg2020'!E206+'1.4.mell._HKK_Mérleg2020'!E206+'1.5._mell._MŐSZ_Mérleg2020'!E206+'1.6._mell._HVGYKCSSZ_Mérleg2020'!E206</f>
        <v>0</v>
      </c>
      <c r="F206" s="29">
        <f>+'1.1.mell._ÖNK_Mérleg2020'!F206+'1.2.mell._HKÖH_Mérleg2020'!F206+'1.3.mell._HVÓBKI_Mérleg2020'!F206+'1.4.mell._HKK_Mérleg2020'!F206+'1.5._mell._MŐSZ_Mérleg2020'!F206+'1.6._mell._HVGYKCSSZ_Mérleg2020'!F206</f>
        <v>0</v>
      </c>
      <c r="H206" s="4">
        <f t="shared" si="16"/>
        <v>0</v>
      </c>
      <c r="I206" s="3"/>
    </row>
    <row r="207" spans="1:9" s="3" customFormat="1" ht="12.75" thickBot="1">
      <c r="A207" s="99" t="s">
        <v>40</v>
      </c>
      <c r="B207" s="85" t="s">
        <v>316</v>
      </c>
      <c r="C207" s="44">
        <f>+C177+C192</f>
        <v>30446</v>
      </c>
      <c r="D207" s="33">
        <f>+D177+D192</f>
        <v>30446</v>
      </c>
      <c r="E207" s="34">
        <f>+E177+E192</f>
        <v>0</v>
      </c>
      <c r="F207" s="35">
        <f>+F177+F192</f>
        <v>0</v>
      </c>
      <c r="G207" s="776">
        <f>+C207/$C$208</f>
        <v>6.6867640024299534E-3</v>
      </c>
      <c r="H207" s="3">
        <f t="shared" si="16"/>
        <v>0</v>
      </c>
      <c r="I207" s="4"/>
    </row>
    <row r="208" spans="1:9" s="3" customFormat="1" ht="12.75" thickBot="1">
      <c r="A208" s="103" t="s">
        <v>39</v>
      </c>
      <c r="B208" s="87" t="s">
        <v>334</v>
      </c>
      <c r="C208" s="45">
        <f>+C176+C207</f>
        <v>4553174</v>
      </c>
      <c r="D208" s="30">
        <f>+D176+D207</f>
        <v>4140459</v>
      </c>
      <c r="E208" s="31">
        <f>+E176+E207</f>
        <v>412715</v>
      </c>
      <c r="F208" s="32">
        <f>+F176+F207</f>
        <v>0</v>
      </c>
      <c r="G208" s="776">
        <f>+C208/$C$208</f>
        <v>1</v>
      </c>
      <c r="H208" s="3">
        <f t="shared" si="16"/>
        <v>0</v>
      </c>
      <c r="I208" s="4"/>
    </row>
    <row r="209" spans="1:26">
      <c r="I209" s="2"/>
    </row>
    <row r="210" spans="1:26">
      <c r="I210" s="46"/>
    </row>
    <row r="211" spans="1:26" s="1" customFormat="1" ht="15.75">
      <c r="A211" s="1211" t="s">
        <v>89</v>
      </c>
      <c r="B211" s="1211"/>
      <c r="C211" s="1211"/>
      <c r="D211" s="1211"/>
      <c r="E211" s="1211"/>
      <c r="F211" s="1211"/>
      <c r="G211" s="2"/>
      <c r="H211" s="2"/>
      <c r="I211" s="3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s="46" customFormat="1" ht="12.75" thickBot="1">
      <c r="A212" s="48" t="s">
        <v>281</v>
      </c>
      <c r="F212" s="47" t="s">
        <v>280</v>
      </c>
      <c r="I212" s="4"/>
    </row>
    <row r="213" spans="1:26" s="3" customFormat="1" ht="12.75" thickBot="1">
      <c r="A213" s="99" t="s">
        <v>4</v>
      </c>
      <c r="B213" s="85" t="s">
        <v>317</v>
      </c>
      <c r="C213" s="44">
        <f>+C214+C215</f>
        <v>-2855803</v>
      </c>
      <c r="D213" s="33">
        <f>+D214+D215</f>
        <v>-2497132</v>
      </c>
      <c r="E213" s="34">
        <f>+E214+E215</f>
        <v>-358671</v>
      </c>
      <c r="F213" s="35">
        <f>+F214+F215</f>
        <v>0</v>
      </c>
      <c r="H213" s="3">
        <f t="shared" si="16"/>
        <v>0</v>
      </c>
      <c r="I213" s="4"/>
    </row>
    <row r="214" spans="1:26">
      <c r="A214" s="100" t="s">
        <v>81</v>
      </c>
      <c r="B214" s="88" t="s">
        <v>318</v>
      </c>
      <c r="C214" s="36">
        <f>+C10-C109</f>
        <v>-2425549</v>
      </c>
      <c r="D214" s="41">
        <f>+D10-D109</f>
        <v>-2412028</v>
      </c>
      <c r="E214" s="11">
        <f>+E10-E109</f>
        <v>-13521</v>
      </c>
      <c r="F214" s="42">
        <f>+F10-F109</f>
        <v>0</v>
      </c>
      <c r="H214" s="4">
        <f t="shared" si="16"/>
        <v>0</v>
      </c>
    </row>
    <row r="215" spans="1:26" ht="12.75" thickBot="1">
      <c r="A215" s="104" t="s">
        <v>82</v>
      </c>
      <c r="B215" s="89" t="s">
        <v>319</v>
      </c>
      <c r="C215" s="25">
        <f>+C50-C149</f>
        <v>-430254</v>
      </c>
      <c r="D215" s="51">
        <f>+D50-D149</f>
        <v>-85104</v>
      </c>
      <c r="E215" s="18">
        <f>+E50-E149</f>
        <v>-345150</v>
      </c>
      <c r="F215" s="50">
        <f>+F50-F149</f>
        <v>0</v>
      </c>
      <c r="H215" s="4">
        <f t="shared" si="16"/>
        <v>0</v>
      </c>
    </row>
    <row r="216" spans="1:26">
      <c r="I216" s="2"/>
    </row>
    <row r="217" spans="1:26">
      <c r="I217" s="46"/>
    </row>
    <row r="218" spans="1:26" s="1" customFormat="1" ht="15.75">
      <c r="A218" s="1211" t="s">
        <v>90</v>
      </c>
      <c r="B218" s="1211"/>
      <c r="C218" s="1211"/>
      <c r="D218" s="1211"/>
      <c r="E218" s="1211"/>
      <c r="F218" s="1211"/>
      <c r="G218" s="2"/>
      <c r="H218" s="2"/>
      <c r="I218" s="3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s="46" customFormat="1" ht="12.75" thickBot="1">
      <c r="A219" s="48" t="s">
        <v>282</v>
      </c>
      <c r="F219" s="47" t="s">
        <v>280</v>
      </c>
      <c r="I219" s="3"/>
    </row>
    <row r="220" spans="1:26" s="3" customFormat="1" ht="12.75" thickBot="1">
      <c r="A220" s="99" t="s">
        <v>4</v>
      </c>
      <c r="B220" s="85" t="s">
        <v>320</v>
      </c>
      <c r="C220" s="44">
        <f>+C221+C228</f>
        <v>2855803</v>
      </c>
      <c r="D220" s="33">
        <f>+D221+D228</f>
        <v>2855803</v>
      </c>
      <c r="E220" s="34">
        <f>+E221+E228</f>
        <v>0</v>
      </c>
      <c r="F220" s="35">
        <f>+F221+F228</f>
        <v>0</v>
      </c>
      <c r="H220" s="3">
        <f t="shared" si="16"/>
        <v>0</v>
      </c>
      <c r="I220" s="4"/>
    </row>
    <row r="221" spans="1:26" s="3" customFormat="1" ht="12.75" thickBot="1">
      <c r="A221" s="99" t="s">
        <v>5</v>
      </c>
      <c r="B221" s="80" t="s">
        <v>321</v>
      </c>
      <c r="C221" s="44">
        <f>+C222-C225</f>
        <v>2845803</v>
      </c>
      <c r="D221" s="33">
        <f>+D222-D225</f>
        <v>2845803</v>
      </c>
      <c r="E221" s="34">
        <f>+E222-E225</f>
        <v>0</v>
      </c>
      <c r="F221" s="35">
        <f>+F222-F225</f>
        <v>0</v>
      </c>
      <c r="H221" s="3">
        <f t="shared" si="16"/>
        <v>0</v>
      </c>
      <c r="I221" s="14"/>
    </row>
    <row r="222" spans="1:26">
      <c r="A222" s="100" t="s">
        <v>54</v>
      </c>
      <c r="B222" s="81" t="s">
        <v>322</v>
      </c>
      <c r="C222" s="36">
        <f>+C223+C224</f>
        <v>2876249</v>
      </c>
      <c r="D222" s="41">
        <f>+D223+D224</f>
        <v>2876249</v>
      </c>
      <c r="E222" s="11">
        <f>+E223+E224</f>
        <v>0</v>
      </c>
      <c r="F222" s="42">
        <f>+F223+F224</f>
        <v>0</v>
      </c>
      <c r="H222" s="4">
        <f t="shared" si="16"/>
        <v>0</v>
      </c>
      <c r="I222" s="14"/>
    </row>
    <row r="223" spans="1:26" s="14" customFormat="1">
      <c r="A223" s="102" t="s">
        <v>189</v>
      </c>
      <c r="B223" s="82" t="s">
        <v>284</v>
      </c>
      <c r="C223" s="24">
        <f>+C76+C80</f>
        <v>2876249</v>
      </c>
      <c r="D223" s="20">
        <f>+D76+D80</f>
        <v>2876249</v>
      </c>
      <c r="E223" s="13">
        <f>+E76+E80</f>
        <v>0</v>
      </c>
      <c r="F223" s="16">
        <f>+F76+F80</f>
        <v>0</v>
      </c>
      <c r="H223" s="14">
        <f t="shared" si="16"/>
        <v>0</v>
      </c>
      <c r="I223" s="4"/>
    </row>
    <row r="224" spans="1:26" s="14" customFormat="1">
      <c r="A224" s="102" t="s">
        <v>190</v>
      </c>
      <c r="B224" s="82" t="s">
        <v>285</v>
      </c>
      <c r="C224" s="24">
        <f>+C74+C75+C77+C78+C79+C81</f>
        <v>0</v>
      </c>
      <c r="D224" s="20">
        <f>+D74+D75+D77+D78+D79+D81</f>
        <v>0</v>
      </c>
      <c r="E224" s="13">
        <f>+E74+E75+E77+E78+E79+E81</f>
        <v>0</v>
      </c>
      <c r="F224" s="16">
        <f>+F74+F75+F77+F78+F79+F81</f>
        <v>0</v>
      </c>
      <c r="H224" s="14">
        <f t="shared" si="16"/>
        <v>0</v>
      </c>
    </row>
    <row r="225" spans="1:26">
      <c r="A225" s="101" t="s">
        <v>55</v>
      </c>
      <c r="B225" s="83" t="s">
        <v>323</v>
      </c>
      <c r="C225" s="23">
        <f>+C227</f>
        <v>30446</v>
      </c>
      <c r="D225" s="21">
        <f>+D227</f>
        <v>30446</v>
      </c>
      <c r="E225" s="12">
        <f>+E227</f>
        <v>0</v>
      </c>
      <c r="F225" s="17">
        <f>+F227</f>
        <v>0</v>
      </c>
      <c r="H225" s="4">
        <f t="shared" si="16"/>
        <v>0</v>
      </c>
      <c r="I225" s="14"/>
    </row>
    <row r="226" spans="1:26" s="14" customFormat="1">
      <c r="A226" s="102" t="s">
        <v>56</v>
      </c>
      <c r="B226" s="82" t="s">
        <v>286</v>
      </c>
      <c r="C226" s="24">
        <f>+C185</f>
        <v>0</v>
      </c>
      <c r="D226" s="20">
        <f>+D185</f>
        <v>0</v>
      </c>
      <c r="E226" s="13">
        <f>+E185</f>
        <v>0</v>
      </c>
      <c r="F226" s="16">
        <f>+F185</f>
        <v>0</v>
      </c>
      <c r="H226" s="14">
        <f t="shared" si="16"/>
        <v>0</v>
      </c>
      <c r="I226" s="3"/>
    </row>
    <row r="227" spans="1:26" s="14" customFormat="1" ht="12.75" thickBot="1">
      <c r="A227" s="105" t="s">
        <v>57</v>
      </c>
      <c r="B227" s="90" t="s">
        <v>287</v>
      </c>
      <c r="C227" s="58">
        <f>+C180+C181+C182+C183+C184+C186+C187</f>
        <v>30446</v>
      </c>
      <c r="D227" s="56">
        <f>+D180+D181+D182+D183+D184+D186+D187</f>
        <v>30446</v>
      </c>
      <c r="E227" s="54">
        <f>+E180+E181+E182+E183+E184+E186+E187</f>
        <v>0</v>
      </c>
      <c r="F227" s="55">
        <f>+F180+F181+F182+F183+F184+F186+F187</f>
        <v>0</v>
      </c>
      <c r="H227" s="14">
        <f t="shared" si="16"/>
        <v>0</v>
      </c>
      <c r="I227" s="4"/>
    </row>
    <row r="228" spans="1:26" s="3" customFormat="1" ht="12.75" thickBot="1">
      <c r="A228" s="99" t="s">
        <v>6</v>
      </c>
      <c r="B228" s="80" t="s">
        <v>324</v>
      </c>
      <c r="C228" s="44">
        <f>+C229-C232</f>
        <v>10000</v>
      </c>
      <c r="D228" s="33">
        <f>+D229-D232</f>
        <v>10000</v>
      </c>
      <c r="E228" s="34">
        <f>+E229-E232</f>
        <v>0</v>
      </c>
      <c r="F228" s="35">
        <f>+F229-F232</f>
        <v>0</v>
      </c>
      <c r="H228" s="3">
        <f t="shared" si="16"/>
        <v>0</v>
      </c>
      <c r="I228" s="14"/>
    </row>
    <row r="229" spans="1:26">
      <c r="A229" s="100" t="s">
        <v>58</v>
      </c>
      <c r="B229" s="81" t="s">
        <v>325</v>
      </c>
      <c r="C229" s="36">
        <f>+C230+C231</f>
        <v>10000</v>
      </c>
      <c r="D229" s="41">
        <f>+D230+D231</f>
        <v>10000</v>
      </c>
      <c r="E229" s="11">
        <f>+E230+E231</f>
        <v>0</v>
      </c>
      <c r="F229" s="42">
        <f>+F230+F231</f>
        <v>0</v>
      </c>
      <c r="H229" s="4">
        <f t="shared" si="16"/>
        <v>0</v>
      </c>
      <c r="I229" s="14"/>
    </row>
    <row r="230" spans="1:26" s="14" customFormat="1">
      <c r="A230" s="102" t="s">
        <v>292</v>
      </c>
      <c r="B230" s="82" t="s">
        <v>290</v>
      </c>
      <c r="C230" s="24">
        <f>+C91+C95</f>
        <v>0</v>
      </c>
      <c r="D230" s="20">
        <f>+D91+D95</f>
        <v>0</v>
      </c>
      <c r="E230" s="13">
        <f>+E91+E95</f>
        <v>0</v>
      </c>
      <c r="F230" s="16">
        <f>+F91+F95</f>
        <v>0</v>
      </c>
      <c r="H230" s="14">
        <f t="shared" si="16"/>
        <v>0</v>
      </c>
      <c r="I230" s="4"/>
    </row>
    <row r="231" spans="1:26" s="14" customFormat="1">
      <c r="A231" s="102" t="s">
        <v>293</v>
      </c>
      <c r="B231" s="82" t="s">
        <v>291</v>
      </c>
      <c r="C231" s="24">
        <f>+C89+C90+C92+C93+C94+C96</f>
        <v>10000</v>
      </c>
      <c r="D231" s="20">
        <f>+D89+D90+D92+D93+D94+D96</f>
        <v>10000</v>
      </c>
      <c r="E231" s="13">
        <f>+E89+E90+E92+E93+E94+E96</f>
        <v>0</v>
      </c>
      <c r="F231" s="16">
        <f>+F89+F90+F92+F93+F94+F96</f>
        <v>0</v>
      </c>
      <c r="H231" s="14">
        <f t="shared" si="16"/>
        <v>0</v>
      </c>
    </row>
    <row r="232" spans="1:26">
      <c r="A232" s="101" t="s">
        <v>59</v>
      </c>
      <c r="B232" s="83" t="s">
        <v>326</v>
      </c>
      <c r="C232" s="23">
        <f>+C233+C234</f>
        <v>0</v>
      </c>
      <c r="D232" s="21">
        <f>+D233+D234</f>
        <v>0</v>
      </c>
      <c r="E232" s="12">
        <f>+E233+E234</f>
        <v>0</v>
      </c>
      <c r="F232" s="17">
        <f>+F233+F234</f>
        <v>0</v>
      </c>
      <c r="H232" s="4">
        <f t="shared" si="16"/>
        <v>0</v>
      </c>
      <c r="I232" s="14"/>
    </row>
    <row r="233" spans="1:26" s="14" customFormat="1">
      <c r="A233" s="102" t="s">
        <v>294</v>
      </c>
      <c r="B233" s="82" t="s">
        <v>288</v>
      </c>
      <c r="C233" s="24">
        <f>+C200</f>
        <v>0</v>
      </c>
      <c r="D233" s="20">
        <f>+D200</f>
        <v>0</v>
      </c>
      <c r="E233" s="13">
        <f>+E200</f>
        <v>0</v>
      </c>
      <c r="F233" s="16">
        <f>+F200</f>
        <v>0</v>
      </c>
      <c r="H233" s="14">
        <f t="shared" si="16"/>
        <v>0</v>
      </c>
      <c r="I233" s="4"/>
    </row>
    <row r="234" spans="1:26" s="14" customFormat="1" ht="12.75" thickBot="1">
      <c r="A234" s="106" t="s">
        <v>295</v>
      </c>
      <c r="B234" s="91" t="s">
        <v>289</v>
      </c>
      <c r="C234" s="59">
        <f>+C195+C196+C197+C198+C199+C201+C202</f>
        <v>0</v>
      </c>
      <c r="D234" s="57">
        <f>+D195+D196+D197+D198+D199+D201+D202</f>
        <v>0</v>
      </c>
      <c r="E234" s="52">
        <f>+E195+E196+E197+E198+E199+E201+E202</f>
        <v>0</v>
      </c>
      <c r="F234" s="53">
        <f>+F195+F196+F197+F198+F199+F201+F202</f>
        <v>0</v>
      </c>
      <c r="H234" s="14">
        <f t="shared" si="16"/>
        <v>0</v>
      </c>
      <c r="I234" s="4"/>
    </row>
    <row r="235" spans="1:26">
      <c r="I235" s="2"/>
    </row>
    <row r="236" spans="1:26">
      <c r="I236" s="46"/>
    </row>
    <row r="237" spans="1:26" s="1" customFormat="1" ht="15.75">
      <c r="A237" s="1211" t="s">
        <v>1460</v>
      </c>
      <c r="B237" s="1211"/>
      <c r="C237" s="1211"/>
      <c r="D237" s="1211"/>
      <c r="E237" s="1211"/>
      <c r="F237" s="1211"/>
      <c r="G237" s="2"/>
      <c r="H237" s="2"/>
      <c r="I237" s="3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s="46" customFormat="1" ht="12.75" thickBot="1">
      <c r="A238" s="48" t="s">
        <v>283</v>
      </c>
      <c r="F238" s="47"/>
      <c r="I238" s="14"/>
    </row>
    <row r="239" spans="1:26" s="3" customFormat="1">
      <c r="A239" s="107" t="s">
        <v>4</v>
      </c>
      <c r="B239" s="92" t="s">
        <v>91</v>
      </c>
      <c r="C239" s="67">
        <f>+D239+E239+F239</f>
        <v>196</v>
      </c>
      <c r="D239" s="68">
        <f>+'1.1.mell._ÖNK_Mérleg2020'!D239+'1.2.mell._HKÖH_Mérleg2020'!D239+'1.3.mell._HVÓBKI_Mérleg2020'!D239+'1.4.mell._HKK_Mérleg2020'!D239+'1.5._mell._MŐSZ_Mérleg2020'!D239+'1.6._mell._HVGYKCSSZ_Mérleg2020'!D239</f>
        <v>187</v>
      </c>
      <c r="E239" s="69">
        <f>+'1.1.mell._ÖNK_Mérleg2020'!E239+'1.2.mell._HKÖH_Mérleg2020'!E239+'1.3.mell._HVÓBKI_Mérleg2020'!E239+'1.4.mell._HKK_Mérleg2020'!E239+'1.5._mell._MŐSZ_Mérleg2020'!E239+'1.6._mell._HVGYKCSSZ_Mérleg2020'!E239</f>
        <v>9</v>
      </c>
      <c r="F239" s="70">
        <f>+'1.1.mell._ÖNK_Mérleg2020'!F239+'1.2.mell._HKÖH_Mérleg2020'!F239+'1.3.mell._HVÓBKI_Mérleg2020'!F239+'1.4.mell._HKK_Mérleg2020'!F239+'1.5._mell._MŐSZ_Mérleg2020'!F239+'1.6._mell._HVGYKCSSZ_Mérleg2020'!F239</f>
        <v>0</v>
      </c>
      <c r="H239" s="3">
        <f t="shared" si="16"/>
        <v>0</v>
      </c>
    </row>
    <row r="240" spans="1:26" s="14" customFormat="1">
      <c r="A240" s="105" t="s">
        <v>350</v>
      </c>
      <c r="B240" s="116" t="s">
        <v>351</v>
      </c>
      <c r="C240" s="117">
        <f>+D240+E240+F240</f>
        <v>0</v>
      </c>
      <c r="D240" s="118">
        <f>+'1.1.mell._ÖNK_Mérleg2020'!D240+'1.2.mell._HKÖH_Mérleg2020'!D240+'1.3.mell._HVÓBKI_Mérleg2020'!D240+'1.4.mell._HKK_Mérleg2020'!D240+'1.5._mell._MŐSZ_Mérleg2020'!D240+'1.6._mell._HVGYKCSSZ_Mérleg2020'!D240</f>
        <v>0</v>
      </c>
      <c r="E240" s="119">
        <f>+'1.1.mell._ÖNK_Mérleg2020'!E240+'1.2.mell._HKÖH_Mérleg2020'!E240+'1.3.mell._HVÓBKI_Mérleg2020'!E240+'1.4.mell._HKK_Mérleg2020'!E240+'1.5._mell._MŐSZ_Mérleg2020'!E240+'1.6._mell._HVGYKCSSZ_Mérleg2020'!E240</f>
        <v>0</v>
      </c>
      <c r="F240" s="120">
        <f>+'1.1.mell._ÖNK_Mérleg2020'!F240+'1.2.mell._HKÖH_Mérleg2020'!F240+'1.3.mell._HVÓBKI_Mérleg2020'!F240+'1.4.mell._HKK_Mérleg2020'!F240+'1.5._mell._MŐSZ_Mérleg2020'!F240+'1.6._mell._HVGYKCSSZ_Mérleg2020'!F240</f>
        <v>0</v>
      </c>
      <c r="H240" s="14">
        <f t="shared" si="16"/>
        <v>0</v>
      </c>
      <c r="I240" s="3"/>
    </row>
    <row r="241" spans="1:9" s="3" customFormat="1" ht="12.75" thickBot="1">
      <c r="A241" s="108" t="s">
        <v>5</v>
      </c>
      <c r="B241" s="93" t="s">
        <v>92</v>
      </c>
      <c r="C241" s="71">
        <f>+D241+E241+F241</f>
        <v>148</v>
      </c>
      <c r="D241" s="72">
        <f>+'1.1.mell._ÖNK_Mérleg2020'!D241+'1.2.mell._HKÖH_Mérleg2020'!D241+'1.3.mell._HVÓBKI_Mérleg2020'!D241+'1.4.mell._HKK_Mérleg2020'!D241+'1.5._mell._MŐSZ_Mérleg2020'!D241+'1.6._mell._HVGYKCSSZ_Mérleg2020'!D241</f>
        <v>148</v>
      </c>
      <c r="E241" s="73">
        <f>+'1.1.mell._ÖNK_Mérleg2020'!E241+'1.2.mell._HKÖH_Mérleg2020'!E241+'1.3.mell._HVÓBKI_Mérleg2020'!E241+'1.4.mell._HKK_Mérleg2020'!E241+'1.5._mell._MŐSZ_Mérleg2020'!E241+'1.6._mell._HVGYKCSSZ_Mérleg2020'!E241</f>
        <v>0</v>
      </c>
      <c r="F241" s="74">
        <f>+'1.1.mell._ÖNK_Mérleg2020'!F241+'1.2.mell._HKÖH_Mérleg2020'!F241+'1.3.mell._HVÓBKI_Mérleg2020'!F241+'1.4.mell._HKK_Mérleg2020'!F241+'1.5._mell._MŐSZ_Mérleg2020'!F241+'1.6._mell._HVGYKCSSZ_Mérleg2020'!F241</f>
        <v>0</v>
      </c>
      <c r="H241" s="3">
        <f t="shared" si="16"/>
        <v>0</v>
      </c>
      <c r="I241" s="4"/>
    </row>
    <row r="242" spans="1:9" s="3" customFormat="1" ht="12.75" thickBot="1">
      <c r="A242" s="99" t="s">
        <v>6</v>
      </c>
      <c r="B242" s="85" t="s">
        <v>329</v>
      </c>
      <c r="C242" s="75">
        <f>+C239+C241</f>
        <v>344</v>
      </c>
      <c r="D242" s="76">
        <f>+D239+D241</f>
        <v>335</v>
      </c>
      <c r="E242" s="77">
        <f>+E239+E241</f>
        <v>9</v>
      </c>
      <c r="F242" s="78">
        <f>+F239+F241</f>
        <v>0</v>
      </c>
      <c r="H242" s="3">
        <f t="shared" si="16"/>
        <v>0</v>
      </c>
      <c r="I242" s="4"/>
    </row>
  </sheetData>
  <mergeCells count="9">
    <mergeCell ref="A3:F3"/>
    <mergeCell ref="A105:F105"/>
    <mergeCell ref="A211:F211"/>
    <mergeCell ref="A218:F218"/>
    <mergeCell ref="A237:F237"/>
    <mergeCell ref="C9:F9"/>
    <mergeCell ref="C108:F108"/>
    <mergeCell ref="A6:F6"/>
    <mergeCell ref="A4:F4"/>
  </mergeCells>
  <conditionalFormatting sqref="C26:F31 C89:F100 C74:F85 C65:F69 C59:F63 C52:F57 C45:F49 C33:F43 C13:F24 C195:F206 C180:F191 C166:F175 C160:F164 C151:F158 C147:F148 C133:F145 C124:F131 C117:F122 C111:F115">
    <cfRule type="cellIs" dxfId="0" priority="2" stopIfTrue="1" operator="equal">
      <formula>0</formula>
    </cfRule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scale="44" fitToHeight="2" orientation="portrait" r:id="rId1"/>
  <headerFooter>
    <oddHeader>&amp;C 1. melléklet - &amp;P. oldal</oddHeader>
  </headerFooter>
  <rowBreaks count="1" manualBreakCount="1">
    <brk id="104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Munka8">
    <tabColor rgb="FF00B0F0"/>
  </sheetPr>
  <dimension ref="A1:AB242"/>
  <sheetViews>
    <sheetView zoomScaleNormal="100" workbookViewId="0"/>
  </sheetViews>
  <sheetFormatPr defaultColWidth="9.140625" defaultRowHeight="12"/>
  <cols>
    <col min="1" max="1" width="6.5703125" style="4" customWidth="1"/>
    <col min="2" max="2" width="109.5703125" style="4" bestFit="1" customWidth="1"/>
    <col min="3" max="6" width="9.28515625" style="4" customWidth="1"/>
    <col min="7" max="7" width="0" style="4" hidden="1" customWidth="1"/>
    <col min="8" max="8" width="9.140625" style="4" hidden="1" customWidth="1"/>
    <col min="9" max="16384" width="9.140625" style="4"/>
  </cols>
  <sheetData>
    <row r="1" spans="1:8" s="63" customFormat="1" ht="15.75">
      <c r="F1" s="64" t="s">
        <v>352</v>
      </c>
    </row>
    <row r="2" spans="1:8" s="63" customFormat="1" ht="15.75"/>
    <row r="3" spans="1:8" s="65" customFormat="1" ht="15.75">
      <c r="A3" s="1210" t="s">
        <v>353</v>
      </c>
      <c r="B3" s="1210"/>
      <c r="C3" s="1210"/>
      <c r="D3" s="1210"/>
      <c r="E3" s="1210"/>
      <c r="F3" s="1210"/>
    </row>
    <row r="4" spans="1:8" s="65" customFormat="1" ht="15.75">
      <c r="A4" s="1210" t="s">
        <v>1444</v>
      </c>
      <c r="B4" s="1210"/>
      <c r="C4" s="1210"/>
      <c r="D4" s="1210"/>
      <c r="E4" s="1210"/>
      <c r="F4" s="1210"/>
    </row>
    <row r="5" spans="1:8" s="63" customFormat="1" ht="15.75"/>
    <row r="6" spans="1:8" s="65" customFormat="1" ht="15.75">
      <c r="A6" s="1210" t="s">
        <v>48</v>
      </c>
      <c r="B6" s="1210"/>
      <c r="C6" s="1210"/>
      <c r="D6" s="1210"/>
      <c r="E6" s="1210"/>
      <c r="F6" s="1210"/>
    </row>
    <row r="7" spans="1:8" s="46" customFormat="1" ht="12.75" thickBot="1">
      <c r="A7" s="48" t="s">
        <v>279</v>
      </c>
      <c r="F7" s="47" t="s">
        <v>280</v>
      </c>
    </row>
    <row r="8" spans="1:8" s="9" customFormat="1" ht="54" customHeight="1" thickBot="1">
      <c r="A8" s="95" t="s">
        <v>17</v>
      </c>
      <c r="B8" s="109" t="s">
        <v>327</v>
      </c>
      <c r="C8" s="5" t="s">
        <v>1442</v>
      </c>
      <c r="D8" s="6" t="s">
        <v>51</v>
      </c>
      <c r="E8" s="7" t="s">
        <v>52</v>
      </c>
      <c r="F8" s="8" t="s">
        <v>53</v>
      </c>
    </row>
    <row r="9" spans="1:8" s="3" customFormat="1" ht="12.75" thickBot="1">
      <c r="A9" s="99" t="s">
        <v>252</v>
      </c>
      <c r="B9" s="110" t="s">
        <v>253</v>
      </c>
      <c r="C9" s="1212" t="s">
        <v>254</v>
      </c>
      <c r="D9" s="1213"/>
      <c r="E9" s="1213"/>
      <c r="F9" s="1214"/>
    </row>
    <row r="10" spans="1:8" s="3" customFormat="1" ht="12.75" thickBot="1">
      <c r="A10" s="111" t="s">
        <v>4</v>
      </c>
      <c r="B10" s="79" t="s">
        <v>296</v>
      </c>
      <c r="C10" s="43">
        <f>+C11+C25+C32+C44</f>
        <v>1508776</v>
      </c>
      <c r="D10" s="38">
        <f>+D11+D25+D32+D44</f>
        <v>1508776</v>
      </c>
      <c r="E10" s="39">
        <f>+E11+E25+E32+E44</f>
        <v>0</v>
      </c>
      <c r="F10" s="40">
        <f>+F11+F25+F32+F44</f>
        <v>0</v>
      </c>
      <c r="H10" s="3">
        <f>+C10-D10-E10-F10</f>
        <v>0</v>
      </c>
    </row>
    <row r="11" spans="1:8" s="3" customFormat="1" ht="12.75" customHeight="1" thickBot="1">
      <c r="A11" s="99" t="s">
        <v>5</v>
      </c>
      <c r="B11" s="80" t="s">
        <v>297</v>
      </c>
      <c r="C11" s="44">
        <f>+C12+C19+C20+C21+C22+C23</f>
        <v>988986</v>
      </c>
      <c r="D11" s="33">
        <f>+D12+D19+D20+D21+D22+D23</f>
        <v>988986</v>
      </c>
      <c r="E11" s="34">
        <f>+E12+E19+E20+E21+E22+E23</f>
        <v>0</v>
      </c>
      <c r="F11" s="35">
        <f>+F12+F19+F20+F21+F22+F23</f>
        <v>0</v>
      </c>
      <c r="H11" s="3">
        <f t="shared" ref="H11:H74" si="0">+C11-D11-E11-F11</f>
        <v>0</v>
      </c>
    </row>
    <row r="12" spans="1:8" s="3" customFormat="1">
      <c r="A12" s="100" t="s">
        <v>54</v>
      </c>
      <c r="B12" s="81" t="s">
        <v>298</v>
      </c>
      <c r="C12" s="36">
        <f>+C13+C14+C15+C16+C17+C18</f>
        <v>917056</v>
      </c>
      <c r="D12" s="19">
        <f>+D13+D14+D15+D16+D17+D18</f>
        <v>917056</v>
      </c>
      <c r="E12" s="10">
        <f>+E13+E14+E15+E16+E17+E18</f>
        <v>0</v>
      </c>
      <c r="F12" s="15">
        <f>+F13+F14+F15+F16+F17+F18</f>
        <v>0</v>
      </c>
      <c r="H12" s="4">
        <f t="shared" si="0"/>
        <v>0</v>
      </c>
    </row>
    <row r="13" spans="1:8" s="14" customFormat="1">
      <c r="A13" s="102" t="s">
        <v>189</v>
      </c>
      <c r="B13" s="82" t="s">
        <v>93</v>
      </c>
      <c r="C13" s="24">
        <f>+D13+E13+F13</f>
        <v>221585</v>
      </c>
      <c r="D13" s="20">
        <v>221585</v>
      </c>
      <c r="E13" s="13"/>
      <c r="F13" s="16"/>
      <c r="H13" s="14">
        <f t="shared" si="0"/>
        <v>0</v>
      </c>
    </row>
    <row r="14" spans="1:8" s="14" customFormat="1">
      <c r="A14" s="102" t="s">
        <v>190</v>
      </c>
      <c r="B14" s="82" t="s">
        <v>94</v>
      </c>
      <c r="C14" s="24">
        <f t="shared" ref="C14:C24" si="1">+D14+E14+F14</f>
        <v>238516</v>
      </c>
      <c r="D14" s="20">
        <v>238516</v>
      </c>
      <c r="E14" s="13"/>
      <c r="F14" s="16"/>
      <c r="H14" s="14">
        <f t="shared" si="0"/>
        <v>0</v>
      </c>
    </row>
    <row r="15" spans="1:8" s="14" customFormat="1">
      <c r="A15" s="102" t="s">
        <v>191</v>
      </c>
      <c r="B15" s="82" t="s">
        <v>95</v>
      </c>
      <c r="C15" s="24">
        <f t="shared" si="1"/>
        <v>287846</v>
      </c>
      <c r="D15" s="20">
        <v>287846</v>
      </c>
      <c r="E15" s="13"/>
      <c r="F15" s="16"/>
      <c r="H15" s="14">
        <f t="shared" si="0"/>
        <v>0</v>
      </c>
    </row>
    <row r="16" spans="1:8" s="14" customFormat="1">
      <c r="A16" s="102" t="s">
        <v>192</v>
      </c>
      <c r="B16" s="82" t="s">
        <v>96</v>
      </c>
      <c r="C16" s="24">
        <f t="shared" si="1"/>
        <v>13207</v>
      </c>
      <c r="D16" s="20">
        <v>13207</v>
      </c>
      <c r="E16" s="13"/>
      <c r="F16" s="16"/>
      <c r="H16" s="14">
        <f t="shared" si="0"/>
        <v>0</v>
      </c>
    </row>
    <row r="17" spans="1:8" s="14" customFormat="1">
      <c r="A17" s="102" t="s">
        <v>193</v>
      </c>
      <c r="B17" s="82" t="s">
        <v>895</v>
      </c>
      <c r="C17" s="24">
        <f t="shared" si="1"/>
        <v>155902</v>
      </c>
      <c r="D17" s="20">
        <v>155902</v>
      </c>
      <c r="E17" s="13"/>
      <c r="F17" s="16"/>
      <c r="H17" s="14">
        <f t="shared" si="0"/>
        <v>0</v>
      </c>
    </row>
    <row r="18" spans="1:8" s="14" customFormat="1">
      <c r="A18" s="102" t="s">
        <v>194</v>
      </c>
      <c r="B18" s="82" t="s">
        <v>896</v>
      </c>
      <c r="C18" s="24">
        <f t="shared" si="1"/>
        <v>0</v>
      </c>
      <c r="D18" s="20"/>
      <c r="E18" s="13"/>
      <c r="F18" s="16"/>
      <c r="H18" s="14">
        <f t="shared" si="0"/>
        <v>0</v>
      </c>
    </row>
    <row r="19" spans="1:8">
      <c r="A19" s="101" t="s">
        <v>55</v>
      </c>
      <c r="B19" s="83" t="s">
        <v>97</v>
      </c>
      <c r="C19" s="23">
        <f t="shared" si="1"/>
        <v>8014</v>
      </c>
      <c r="D19" s="21">
        <v>8014</v>
      </c>
      <c r="E19" s="12"/>
      <c r="F19" s="17"/>
      <c r="H19" s="4">
        <f t="shared" si="0"/>
        <v>0</v>
      </c>
    </row>
    <row r="20" spans="1:8">
      <c r="A20" s="101" t="s">
        <v>83</v>
      </c>
      <c r="B20" s="83" t="s">
        <v>98</v>
      </c>
      <c r="C20" s="23">
        <f t="shared" si="1"/>
        <v>0</v>
      </c>
      <c r="D20" s="21"/>
      <c r="E20" s="12"/>
      <c r="F20" s="17"/>
      <c r="H20" s="4">
        <f t="shared" si="0"/>
        <v>0</v>
      </c>
    </row>
    <row r="21" spans="1:8">
      <c r="A21" s="101" t="s">
        <v>84</v>
      </c>
      <c r="B21" s="83" t="s">
        <v>99</v>
      </c>
      <c r="C21" s="23">
        <f t="shared" si="1"/>
        <v>0</v>
      </c>
      <c r="D21" s="21"/>
      <c r="E21" s="12"/>
      <c r="F21" s="17"/>
      <c r="H21" s="4">
        <f t="shared" si="0"/>
        <v>0</v>
      </c>
    </row>
    <row r="22" spans="1:8">
      <c r="A22" s="101" t="s">
        <v>85</v>
      </c>
      <c r="B22" s="83" t="s">
        <v>100</v>
      </c>
      <c r="C22" s="23">
        <f t="shared" si="1"/>
        <v>0</v>
      </c>
      <c r="D22" s="21"/>
      <c r="E22" s="12"/>
      <c r="F22" s="17"/>
      <c r="H22" s="4">
        <f t="shared" si="0"/>
        <v>0</v>
      </c>
    </row>
    <row r="23" spans="1:8">
      <c r="A23" s="94" t="s">
        <v>86</v>
      </c>
      <c r="B23" s="84" t="s">
        <v>101</v>
      </c>
      <c r="C23" s="26">
        <f t="shared" si="1"/>
        <v>63916</v>
      </c>
      <c r="D23" s="27">
        <v>63916</v>
      </c>
      <c r="E23" s="28"/>
      <c r="F23" s="29"/>
      <c r="H23" s="4">
        <f t="shared" si="0"/>
        <v>0</v>
      </c>
    </row>
    <row r="24" spans="1:8" s="14" customFormat="1" ht="12.75" thickBot="1">
      <c r="A24" s="105" t="s">
        <v>331</v>
      </c>
      <c r="B24" s="894" t="s">
        <v>332</v>
      </c>
      <c r="C24" s="58">
        <f t="shared" si="1"/>
        <v>0</v>
      </c>
      <c r="D24" s="56"/>
      <c r="E24" s="54"/>
      <c r="F24" s="55"/>
      <c r="H24" s="14">
        <f t="shared" si="0"/>
        <v>0</v>
      </c>
    </row>
    <row r="25" spans="1:8" s="3" customFormat="1" ht="12.75" customHeight="1" thickBot="1">
      <c r="A25" s="99" t="s">
        <v>6</v>
      </c>
      <c r="B25" s="80" t="s">
        <v>778</v>
      </c>
      <c r="C25" s="44">
        <f>+C26+C27+C28+C29+C30+C31</f>
        <v>396552</v>
      </c>
      <c r="D25" s="33">
        <f>+D26+D27+D28+D29+D30+D31</f>
        <v>396552</v>
      </c>
      <c r="E25" s="34">
        <f>+E26+E27+E28+E29+E30+E31</f>
        <v>0</v>
      </c>
      <c r="F25" s="35">
        <f>+F26+F27+F28+F29+F30+F31</f>
        <v>0</v>
      </c>
      <c r="H25" s="3">
        <f t="shared" si="0"/>
        <v>0</v>
      </c>
    </row>
    <row r="26" spans="1:8" ht="12.75" customHeight="1">
      <c r="A26" s="100" t="s">
        <v>58</v>
      </c>
      <c r="B26" s="81" t="s">
        <v>102</v>
      </c>
      <c r="C26" s="36">
        <f t="shared" ref="C26:C31" si="2">+D26+E26+F26</f>
        <v>50</v>
      </c>
      <c r="D26" s="41">
        <v>50</v>
      </c>
      <c r="E26" s="11"/>
      <c r="F26" s="42"/>
      <c r="H26" s="4">
        <f t="shared" si="0"/>
        <v>0</v>
      </c>
    </row>
    <row r="27" spans="1:8" ht="12.75" customHeight="1">
      <c r="A27" s="101" t="s">
        <v>59</v>
      </c>
      <c r="B27" s="83" t="s">
        <v>103</v>
      </c>
      <c r="C27" s="23">
        <f t="shared" si="2"/>
        <v>0</v>
      </c>
      <c r="D27" s="21"/>
      <c r="E27" s="12"/>
      <c r="F27" s="17"/>
      <c r="H27" s="4">
        <f t="shared" si="0"/>
        <v>0</v>
      </c>
    </row>
    <row r="28" spans="1:8" ht="12.75" customHeight="1">
      <c r="A28" s="101" t="s">
        <v>60</v>
      </c>
      <c r="B28" s="83" t="s">
        <v>104</v>
      </c>
      <c r="C28" s="23">
        <f t="shared" si="2"/>
        <v>0</v>
      </c>
      <c r="D28" s="21"/>
      <c r="E28" s="12"/>
      <c r="F28" s="17"/>
      <c r="H28" s="4">
        <f t="shared" si="0"/>
        <v>0</v>
      </c>
    </row>
    <row r="29" spans="1:8" ht="12.75" customHeight="1">
      <c r="A29" s="101" t="s">
        <v>179</v>
      </c>
      <c r="B29" s="83" t="s">
        <v>105</v>
      </c>
      <c r="C29" s="23">
        <f t="shared" si="2"/>
        <v>66952</v>
      </c>
      <c r="D29" s="21">
        <v>66952</v>
      </c>
      <c r="E29" s="12"/>
      <c r="F29" s="17"/>
      <c r="H29" s="4">
        <f t="shared" si="0"/>
        <v>0</v>
      </c>
    </row>
    <row r="30" spans="1:8" ht="12.75" customHeight="1">
      <c r="A30" s="94" t="s">
        <v>180</v>
      </c>
      <c r="B30" s="84" t="s">
        <v>106</v>
      </c>
      <c r="C30" s="26">
        <f t="shared" si="2"/>
        <v>328350</v>
      </c>
      <c r="D30" s="27">
        <v>328350</v>
      </c>
      <c r="E30" s="28"/>
      <c r="F30" s="29"/>
      <c r="H30" s="4">
        <f t="shared" si="0"/>
        <v>0</v>
      </c>
    </row>
    <row r="31" spans="1:8" ht="12.75" customHeight="1" thickBot="1">
      <c r="A31" s="94" t="s">
        <v>777</v>
      </c>
      <c r="B31" s="84" t="s">
        <v>779</v>
      </c>
      <c r="C31" s="26">
        <f t="shared" si="2"/>
        <v>1200</v>
      </c>
      <c r="D31" s="27">
        <v>1200</v>
      </c>
      <c r="E31" s="28"/>
      <c r="F31" s="29"/>
      <c r="H31" s="4">
        <f t="shared" si="0"/>
        <v>0</v>
      </c>
    </row>
    <row r="32" spans="1:8" s="3" customFormat="1" ht="12.75" customHeight="1" thickBot="1">
      <c r="A32" s="99" t="s">
        <v>3</v>
      </c>
      <c r="B32" s="80" t="s">
        <v>968</v>
      </c>
      <c r="C32" s="44">
        <f>+C33+C34+C35+C36+C37+C38+C39+C40+C41+C42+C43</f>
        <v>123238</v>
      </c>
      <c r="D32" s="33">
        <f>+D33+D34+D35+D36+D37+D38+D39+D40+D41+D42+D43</f>
        <v>123238</v>
      </c>
      <c r="E32" s="34">
        <f>+E33+E34+E35+E36+E37+E38+E39+E40+E41+E42+E43</f>
        <v>0</v>
      </c>
      <c r="F32" s="35">
        <f>+F33+F34+F35+F36+F37+F38+F39+F40+F41+F42+F43</f>
        <v>0</v>
      </c>
      <c r="H32" s="3">
        <f t="shared" si="0"/>
        <v>0</v>
      </c>
    </row>
    <row r="33" spans="1:8" ht="12.75" customHeight="1">
      <c r="A33" s="100" t="s">
        <v>61</v>
      </c>
      <c r="B33" s="81" t="s">
        <v>1585</v>
      </c>
      <c r="C33" s="36">
        <f t="shared" ref="C33:C43" si="3">+D33+E33+F33</f>
        <v>8000</v>
      </c>
      <c r="D33" s="41">
        <v>8000</v>
      </c>
      <c r="E33" s="11"/>
      <c r="F33" s="42"/>
      <c r="H33" s="4">
        <f t="shared" si="0"/>
        <v>0</v>
      </c>
    </row>
    <row r="34" spans="1:8" ht="12.75" customHeight="1">
      <c r="A34" s="101" t="s">
        <v>62</v>
      </c>
      <c r="B34" s="83" t="s">
        <v>107</v>
      </c>
      <c r="C34" s="23">
        <f t="shared" si="3"/>
        <v>34208</v>
      </c>
      <c r="D34" s="21">
        <v>34208</v>
      </c>
      <c r="E34" s="12"/>
      <c r="F34" s="17"/>
      <c r="H34" s="4">
        <f t="shared" si="0"/>
        <v>0</v>
      </c>
    </row>
    <row r="35" spans="1:8" ht="12.75" customHeight="1">
      <c r="A35" s="101" t="s">
        <v>63</v>
      </c>
      <c r="B35" s="83" t="s">
        <v>108</v>
      </c>
      <c r="C35" s="23">
        <f t="shared" si="3"/>
        <v>0</v>
      </c>
      <c r="D35" s="21"/>
      <c r="E35" s="12"/>
      <c r="F35" s="17"/>
      <c r="H35" s="4">
        <f t="shared" si="0"/>
        <v>0</v>
      </c>
    </row>
    <row r="36" spans="1:8" ht="12.75" customHeight="1">
      <c r="A36" s="101" t="s">
        <v>64</v>
      </c>
      <c r="B36" s="83" t="s">
        <v>109</v>
      </c>
      <c r="C36" s="23">
        <f t="shared" si="3"/>
        <v>236</v>
      </c>
      <c r="D36" s="21">
        <v>236</v>
      </c>
      <c r="E36" s="12"/>
      <c r="F36" s="17"/>
      <c r="H36" s="4">
        <f t="shared" si="0"/>
        <v>0</v>
      </c>
    </row>
    <row r="37" spans="1:8" ht="12.75" customHeight="1">
      <c r="A37" s="101" t="s">
        <v>65</v>
      </c>
      <c r="B37" s="83" t="s">
        <v>110</v>
      </c>
      <c r="C37" s="23">
        <f t="shared" si="3"/>
        <v>0</v>
      </c>
      <c r="D37" s="21"/>
      <c r="E37" s="12"/>
      <c r="F37" s="17"/>
      <c r="H37" s="4">
        <f t="shared" si="0"/>
        <v>0</v>
      </c>
    </row>
    <row r="38" spans="1:8" ht="12.75" customHeight="1">
      <c r="A38" s="101" t="s">
        <v>221</v>
      </c>
      <c r="B38" s="83" t="s">
        <v>111</v>
      </c>
      <c r="C38" s="23">
        <f t="shared" si="3"/>
        <v>9300</v>
      </c>
      <c r="D38" s="21">
        <v>9300</v>
      </c>
      <c r="E38" s="12"/>
      <c r="F38" s="17"/>
      <c r="H38" s="4">
        <f t="shared" si="0"/>
        <v>0</v>
      </c>
    </row>
    <row r="39" spans="1:8" ht="12.75" customHeight="1">
      <c r="A39" s="101" t="s">
        <v>222</v>
      </c>
      <c r="B39" s="83" t="s">
        <v>112</v>
      </c>
      <c r="C39" s="23">
        <f t="shared" si="3"/>
        <v>9851</v>
      </c>
      <c r="D39" s="21">
        <v>9851</v>
      </c>
      <c r="E39" s="12"/>
      <c r="F39" s="17"/>
      <c r="H39" s="4">
        <f t="shared" si="0"/>
        <v>0</v>
      </c>
    </row>
    <row r="40" spans="1:8" ht="12.75" customHeight="1">
      <c r="A40" s="101" t="s">
        <v>223</v>
      </c>
      <c r="B40" s="83" t="s">
        <v>978</v>
      </c>
      <c r="C40" s="23">
        <f t="shared" si="3"/>
        <v>0</v>
      </c>
      <c r="D40" s="21"/>
      <c r="E40" s="12"/>
      <c r="F40" s="17"/>
      <c r="H40" s="4">
        <f t="shared" si="0"/>
        <v>0</v>
      </c>
    </row>
    <row r="41" spans="1:8" ht="12.75" customHeight="1">
      <c r="A41" s="101" t="s">
        <v>224</v>
      </c>
      <c r="B41" s="83" t="s">
        <v>113</v>
      </c>
      <c r="C41" s="23">
        <f t="shared" si="3"/>
        <v>0</v>
      </c>
      <c r="D41" s="21"/>
      <c r="E41" s="12"/>
      <c r="F41" s="17"/>
      <c r="H41" s="4">
        <f t="shared" si="0"/>
        <v>0</v>
      </c>
    </row>
    <row r="42" spans="1:8" ht="12.75" customHeight="1">
      <c r="A42" s="94" t="s">
        <v>225</v>
      </c>
      <c r="B42" s="84" t="s">
        <v>898</v>
      </c>
      <c r="C42" s="23">
        <f>+D42+E42+F42</f>
        <v>0</v>
      </c>
      <c r="D42" s="21"/>
      <c r="E42" s="12"/>
      <c r="F42" s="17"/>
      <c r="H42" s="4">
        <f t="shared" si="0"/>
        <v>0</v>
      </c>
    </row>
    <row r="43" spans="1:8" ht="12.75" customHeight="1" thickBot="1">
      <c r="A43" s="94" t="s">
        <v>897</v>
      </c>
      <c r="B43" s="84" t="s">
        <v>899</v>
      </c>
      <c r="C43" s="26">
        <f t="shared" si="3"/>
        <v>61643</v>
      </c>
      <c r="D43" s="27">
        <v>61643</v>
      </c>
      <c r="E43" s="28"/>
      <c r="F43" s="29"/>
      <c r="H43" s="4">
        <f t="shared" si="0"/>
        <v>0</v>
      </c>
    </row>
    <row r="44" spans="1:8" s="3" customFormat="1" ht="12.75" thickBot="1">
      <c r="A44" s="99" t="s">
        <v>16</v>
      </c>
      <c r="B44" s="80" t="s">
        <v>969</v>
      </c>
      <c r="C44" s="44">
        <f>+C45+C46+C47+C48+C49</f>
        <v>0</v>
      </c>
      <c r="D44" s="33">
        <f>+D45+D46+D47+D48+D49</f>
        <v>0</v>
      </c>
      <c r="E44" s="34">
        <f>+E45+E46+E47+E48+E49</f>
        <v>0</v>
      </c>
      <c r="F44" s="35">
        <f>+F45+F46+F47+F48+F49</f>
        <v>0</v>
      </c>
      <c r="H44" s="3">
        <f t="shared" si="0"/>
        <v>0</v>
      </c>
    </row>
    <row r="45" spans="1:8" ht="12.75" customHeight="1">
      <c r="A45" s="100" t="s">
        <v>226</v>
      </c>
      <c r="B45" s="81" t="s">
        <v>114</v>
      </c>
      <c r="C45" s="36">
        <f>+D45+E45+F45</f>
        <v>0</v>
      </c>
      <c r="D45" s="41"/>
      <c r="E45" s="11"/>
      <c r="F45" s="42"/>
      <c r="H45" s="4">
        <f t="shared" si="0"/>
        <v>0</v>
      </c>
    </row>
    <row r="46" spans="1:8" ht="12.75" customHeight="1">
      <c r="A46" s="100" t="s">
        <v>227</v>
      </c>
      <c r="B46" s="81" t="s">
        <v>900</v>
      </c>
      <c r="C46" s="23">
        <f>+D46+E46+F46</f>
        <v>0</v>
      </c>
      <c r="D46" s="21"/>
      <c r="E46" s="12"/>
      <c r="F46" s="17"/>
      <c r="H46" s="4">
        <f t="shared" si="0"/>
        <v>0</v>
      </c>
    </row>
    <row r="47" spans="1:8" ht="12.75" customHeight="1">
      <c r="A47" s="100" t="s">
        <v>228</v>
      </c>
      <c r="B47" s="81" t="s">
        <v>901</v>
      </c>
      <c r="C47" s="26">
        <f>+D47+E47+F47</f>
        <v>0</v>
      </c>
      <c r="D47" s="27"/>
      <c r="E47" s="28"/>
      <c r="F47" s="29"/>
      <c r="H47" s="4">
        <f t="shared" si="0"/>
        <v>0</v>
      </c>
    </row>
    <row r="48" spans="1:8" ht="12.75" customHeight="1">
      <c r="A48" s="101" t="s">
        <v>256</v>
      </c>
      <c r="B48" s="83" t="s">
        <v>902</v>
      </c>
      <c r="C48" s="23">
        <f>+D48+E48+F48</f>
        <v>0</v>
      </c>
      <c r="D48" s="21"/>
      <c r="E48" s="12"/>
      <c r="F48" s="17"/>
      <c r="H48" s="4">
        <f t="shared" si="0"/>
        <v>0</v>
      </c>
    </row>
    <row r="49" spans="1:8" ht="12.75" customHeight="1" thickBot="1">
      <c r="A49" s="94" t="s">
        <v>257</v>
      </c>
      <c r="B49" s="84" t="s">
        <v>903</v>
      </c>
      <c r="C49" s="26">
        <f>+D49+E49+F49</f>
        <v>0</v>
      </c>
      <c r="D49" s="27"/>
      <c r="E49" s="28"/>
      <c r="F49" s="29"/>
      <c r="H49" s="4">
        <f t="shared" si="0"/>
        <v>0</v>
      </c>
    </row>
    <row r="50" spans="1:8" s="3" customFormat="1" ht="12.75" thickBot="1">
      <c r="A50" s="99" t="s">
        <v>15</v>
      </c>
      <c r="B50" s="85" t="s">
        <v>299</v>
      </c>
      <c r="C50" s="44">
        <f>+C51+C58+C64</f>
        <v>73726</v>
      </c>
      <c r="D50" s="33">
        <f>+D51+D58+D64</f>
        <v>72626</v>
      </c>
      <c r="E50" s="34">
        <f>+E51+E58+E64</f>
        <v>1100</v>
      </c>
      <c r="F50" s="35">
        <f>+F51+F58+F64</f>
        <v>0</v>
      </c>
      <c r="H50" s="3">
        <f t="shared" si="0"/>
        <v>0</v>
      </c>
    </row>
    <row r="51" spans="1:8" s="3" customFormat="1" ht="12.75" customHeight="1" thickBot="1">
      <c r="A51" s="99" t="s">
        <v>14</v>
      </c>
      <c r="B51" s="80" t="s">
        <v>300</v>
      </c>
      <c r="C51" s="44">
        <f>+C52+C53+C54+C55+C56</f>
        <v>32276</v>
      </c>
      <c r="D51" s="33">
        <f>+D52+D53+D54+D55+D56</f>
        <v>32276</v>
      </c>
      <c r="E51" s="34">
        <f>+E52+E53+E54+E55+E56</f>
        <v>0</v>
      </c>
      <c r="F51" s="35">
        <f>+F52+F53+F54+F55+F56</f>
        <v>0</v>
      </c>
      <c r="H51" s="3">
        <f t="shared" si="0"/>
        <v>0</v>
      </c>
    </row>
    <row r="52" spans="1:8">
      <c r="A52" s="100" t="s">
        <v>184</v>
      </c>
      <c r="B52" s="135" t="s">
        <v>115</v>
      </c>
      <c r="C52" s="36">
        <f t="shared" ref="C52:C57" si="4">+D52+E52+F52</f>
        <v>0</v>
      </c>
      <c r="D52" s="41"/>
      <c r="E52" s="11"/>
      <c r="F52" s="42"/>
      <c r="H52" s="4">
        <f t="shared" si="0"/>
        <v>0</v>
      </c>
    </row>
    <row r="53" spans="1:8">
      <c r="A53" s="101" t="s">
        <v>185</v>
      </c>
      <c r="B53" s="83" t="s">
        <v>116</v>
      </c>
      <c r="C53" s="23">
        <f t="shared" si="4"/>
        <v>0</v>
      </c>
      <c r="D53" s="21"/>
      <c r="E53" s="12"/>
      <c r="F53" s="17"/>
      <c r="H53" s="4">
        <f t="shared" si="0"/>
        <v>0</v>
      </c>
    </row>
    <row r="54" spans="1:8">
      <c r="A54" s="101" t="s">
        <v>186</v>
      </c>
      <c r="B54" s="83" t="s">
        <v>117</v>
      </c>
      <c r="C54" s="23">
        <f t="shared" si="4"/>
        <v>0</v>
      </c>
      <c r="D54" s="21"/>
      <c r="E54" s="12"/>
      <c r="F54" s="17"/>
      <c r="H54" s="4">
        <f t="shared" si="0"/>
        <v>0</v>
      </c>
    </row>
    <row r="55" spans="1:8">
      <c r="A55" s="101" t="s">
        <v>187</v>
      </c>
      <c r="B55" s="83" t="s">
        <v>118</v>
      </c>
      <c r="C55" s="23">
        <f t="shared" si="4"/>
        <v>0</v>
      </c>
      <c r="D55" s="21"/>
      <c r="E55" s="12"/>
      <c r="F55" s="17"/>
      <c r="H55" s="4">
        <f t="shared" si="0"/>
        <v>0</v>
      </c>
    </row>
    <row r="56" spans="1:8">
      <c r="A56" s="94" t="s">
        <v>188</v>
      </c>
      <c r="B56" s="84" t="s">
        <v>119</v>
      </c>
      <c r="C56" s="26">
        <f t="shared" si="4"/>
        <v>32276</v>
      </c>
      <c r="D56" s="27">
        <v>32276</v>
      </c>
      <c r="E56" s="28"/>
      <c r="F56" s="29"/>
      <c r="H56" s="4">
        <f t="shared" si="0"/>
        <v>0</v>
      </c>
    </row>
    <row r="57" spans="1:8" s="14" customFormat="1" ht="12.75" thickBot="1">
      <c r="A57" s="105" t="s">
        <v>333</v>
      </c>
      <c r="B57" s="894" t="s">
        <v>337</v>
      </c>
      <c r="C57" s="58">
        <f t="shared" si="4"/>
        <v>0</v>
      </c>
      <c r="D57" s="56"/>
      <c r="E57" s="54"/>
      <c r="F57" s="55"/>
      <c r="H57" s="14">
        <f t="shared" si="0"/>
        <v>0</v>
      </c>
    </row>
    <row r="58" spans="1:8" s="3" customFormat="1" ht="12.75" customHeight="1" thickBot="1">
      <c r="A58" s="99" t="s">
        <v>13</v>
      </c>
      <c r="B58" s="80" t="s">
        <v>301</v>
      </c>
      <c r="C58" s="44">
        <f>+C59+C60+C61+C62+C63</f>
        <v>40350</v>
      </c>
      <c r="D58" s="33">
        <f>+D59+D60+D61+D62+D63</f>
        <v>40350</v>
      </c>
      <c r="E58" s="34">
        <f>+E59+E60+E61+E62+E63</f>
        <v>0</v>
      </c>
      <c r="F58" s="35">
        <f>+F59+F60+F61+F62+F63</f>
        <v>0</v>
      </c>
      <c r="H58" s="3">
        <f t="shared" si="0"/>
        <v>0</v>
      </c>
    </row>
    <row r="59" spans="1:8" ht="12.75" customHeight="1">
      <c r="A59" s="100" t="s">
        <v>66</v>
      </c>
      <c r="B59" s="81" t="s">
        <v>120</v>
      </c>
      <c r="C59" s="36">
        <f>+D59+E59+F59</f>
        <v>0</v>
      </c>
      <c r="D59" s="41"/>
      <c r="E59" s="11"/>
      <c r="F59" s="42"/>
      <c r="H59" s="4">
        <f t="shared" si="0"/>
        <v>0</v>
      </c>
    </row>
    <row r="60" spans="1:8" ht="12.75" customHeight="1">
      <c r="A60" s="101" t="s">
        <v>67</v>
      </c>
      <c r="B60" s="83" t="s">
        <v>121</v>
      </c>
      <c r="C60" s="23">
        <f>+D60+E60+F60</f>
        <v>40350</v>
      </c>
      <c r="D60" s="21">
        <v>40350</v>
      </c>
      <c r="E60" s="12"/>
      <c r="F60" s="17"/>
      <c r="H60" s="4">
        <f t="shared" si="0"/>
        <v>0</v>
      </c>
    </row>
    <row r="61" spans="1:8" ht="12.75" customHeight="1">
      <c r="A61" s="101" t="s">
        <v>68</v>
      </c>
      <c r="B61" s="83" t="s">
        <v>122</v>
      </c>
      <c r="C61" s="23">
        <f>+D61+E61+F61</f>
        <v>0</v>
      </c>
      <c r="D61" s="21"/>
      <c r="E61" s="12"/>
      <c r="F61" s="17"/>
      <c r="H61" s="4">
        <f t="shared" si="0"/>
        <v>0</v>
      </c>
    </row>
    <row r="62" spans="1:8" ht="12.75" customHeight="1">
      <c r="A62" s="101" t="s">
        <v>229</v>
      </c>
      <c r="B62" s="83" t="s">
        <v>123</v>
      </c>
      <c r="C62" s="23">
        <f>+D62+E62+F62</f>
        <v>0</v>
      </c>
      <c r="D62" s="21"/>
      <c r="E62" s="12"/>
      <c r="F62" s="17"/>
      <c r="H62" s="4">
        <f t="shared" si="0"/>
        <v>0</v>
      </c>
    </row>
    <row r="63" spans="1:8" ht="12.75" customHeight="1" thickBot="1">
      <c r="A63" s="94" t="s">
        <v>230</v>
      </c>
      <c r="B63" s="84" t="s">
        <v>124</v>
      </c>
      <c r="C63" s="26">
        <f>+D63+E63+F63</f>
        <v>0</v>
      </c>
      <c r="D63" s="27"/>
      <c r="E63" s="28"/>
      <c r="F63" s="29"/>
      <c r="H63" s="4">
        <f t="shared" si="0"/>
        <v>0</v>
      </c>
    </row>
    <row r="64" spans="1:8" s="3" customFormat="1" ht="12.75" thickBot="1">
      <c r="A64" s="99" t="s">
        <v>12</v>
      </c>
      <c r="B64" s="80" t="s">
        <v>907</v>
      </c>
      <c r="C64" s="44">
        <f>+C65+C66+C67+C68+C69</f>
        <v>1100</v>
      </c>
      <c r="D64" s="33">
        <f>+D65+D66+D67+D68+D69</f>
        <v>0</v>
      </c>
      <c r="E64" s="34">
        <f>+E65+E66+E67+E68+E69</f>
        <v>1100</v>
      </c>
      <c r="F64" s="35">
        <f>+F65+F66+F67+F68+F69</f>
        <v>0</v>
      </c>
      <c r="H64" s="3">
        <f t="shared" si="0"/>
        <v>0</v>
      </c>
    </row>
    <row r="65" spans="1:8">
      <c r="A65" s="100" t="s">
        <v>69</v>
      </c>
      <c r="B65" s="81" t="s">
        <v>125</v>
      </c>
      <c r="C65" s="36">
        <f>+D65+E65+F65</f>
        <v>0</v>
      </c>
      <c r="D65" s="41"/>
      <c r="E65" s="11"/>
      <c r="F65" s="42"/>
      <c r="H65" s="4">
        <f t="shared" si="0"/>
        <v>0</v>
      </c>
    </row>
    <row r="66" spans="1:8">
      <c r="A66" s="100" t="s">
        <v>70</v>
      </c>
      <c r="B66" s="81" t="s">
        <v>908</v>
      </c>
      <c r="C66" s="23">
        <f>+D66+E66+F66</f>
        <v>0</v>
      </c>
      <c r="D66" s="21"/>
      <c r="E66" s="12"/>
      <c r="F66" s="17"/>
      <c r="H66" s="4">
        <f t="shared" si="0"/>
        <v>0</v>
      </c>
    </row>
    <row r="67" spans="1:8">
      <c r="A67" s="100" t="s">
        <v>71</v>
      </c>
      <c r="B67" s="81" t="s">
        <v>909</v>
      </c>
      <c r="C67" s="26">
        <f>+D67+E67+F67</f>
        <v>0</v>
      </c>
      <c r="D67" s="27"/>
      <c r="E67" s="28"/>
      <c r="F67" s="29"/>
      <c r="H67" s="4">
        <f t="shared" si="0"/>
        <v>0</v>
      </c>
    </row>
    <row r="68" spans="1:8">
      <c r="A68" s="101" t="s">
        <v>72</v>
      </c>
      <c r="B68" s="83" t="s">
        <v>905</v>
      </c>
      <c r="C68" s="23">
        <f>+D68+E68+F68</f>
        <v>1100</v>
      </c>
      <c r="D68" s="21"/>
      <c r="E68" s="12">
        <v>1100</v>
      </c>
      <c r="F68" s="17"/>
      <c r="H68" s="4">
        <f t="shared" si="0"/>
        <v>0</v>
      </c>
    </row>
    <row r="69" spans="1:8" ht="12.75" thickBot="1">
      <c r="A69" s="94" t="s">
        <v>904</v>
      </c>
      <c r="B69" s="84" t="s">
        <v>906</v>
      </c>
      <c r="C69" s="26">
        <f>+D69+E69+F69</f>
        <v>0</v>
      </c>
      <c r="D69" s="27"/>
      <c r="E69" s="28"/>
      <c r="F69" s="29"/>
      <c r="H69" s="4">
        <f t="shared" si="0"/>
        <v>0</v>
      </c>
    </row>
    <row r="70" spans="1:8" s="3" customFormat="1" ht="12.75" thickBot="1">
      <c r="A70" s="99" t="s">
        <v>11</v>
      </c>
      <c r="B70" s="85" t="s">
        <v>302</v>
      </c>
      <c r="C70" s="44">
        <f>+C10+C50</f>
        <v>1582502</v>
      </c>
      <c r="D70" s="33">
        <f>+D10+D50</f>
        <v>1581402</v>
      </c>
      <c r="E70" s="34">
        <f>+E10+E50</f>
        <v>1100</v>
      </c>
      <c r="F70" s="35">
        <f>+F10+F50</f>
        <v>0</v>
      </c>
      <c r="H70" s="3">
        <f t="shared" si="0"/>
        <v>0</v>
      </c>
    </row>
    <row r="71" spans="1:8" s="3" customFormat="1" ht="12.75" thickBot="1">
      <c r="A71" s="99" t="s">
        <v>10</v>
      </c>
      <c r="B71" s="86" t="s">
        <v>303</v>
      </c>
      <c r="C71" s="44">
        <f>+C72</f>
        <v>2876249</v>
      </c>
      <c r="D71" s="33">
        <f>+D72</f>
        <v>2876249</v>
      </c>
      <c r="E71" s="34">
        <f>+E72</f>
        <v>0</v>
      </c>
      <c r="F71" s="35">
        <f>+F72</f>
        <v>0</v>
      </c>
      <c r="H71" s="3">
        <f t="shared" si="0"/>
        <v>0</v>
      </c>
    </row>
    <row r="72" spans="1:8" s="3" customFormat="1" ht="12.75" thickBot="1">
      <c r="A72" s="99" t="s">
        <v>9</v>
      </c>
      <c r="B72" s="80" t="s">
        <v>916</v>
      </c>
      <c r="C72" s="44">
        <f>+C73+C83+C84+C85</f>
        <v>2876249</v>
      </c>
      <c r="D72" s="33">
        <f>+D73+D83+D84+D85</f>
        <v>2876249</v>
      </c>
      <c r="E72" s="34">
        <f>+E73+E83+E84+E85</f>
        <v>0</v>
      </c>
      <c r="F72" s="35">
        <f>+F73+F83+F84+F85</f>
        <v>0</v>
      </c>
      <c r="H72" s="3">
        <f t="shared" si="0"/>
        <v>0</v>
      </c>
    </row>
    <row r="73" spans="1:8">
      <c r="A73" s="100" t="s">
        <v>73</v>
      </c>
      <c r="B73" s="81" t="s">
        <v>911</v>
      </c>
      <c r="C73" s="36">
        <f>+C74+C75+C76+C77+C78+C79+C80+C81+C82</f>
        <v>2876249</v>
      </c>
      <c r="D73" s="41">
        <f>+D74+D75+D76+D77+D78+D79+D80+D81+D82</f>
        <v>2876249</v>
      </c>
      <c r="E73" s="11">
        <f>+E74+E75+E76+E77+E78+E79+E80+E81+E82</f>
        <v>0</v>
      </c>
      <c r="F73" s="42">
        <f>+F74+F75+F76+F77+F78+F79+F80+F81+F82</f>
        <v>0</v>
      </c>
      <c r="H73" s="4">
        <f t="shared" si="0"/>
        <v>0</v>
      </c>
    </row>
    <row r="74" spans="1:8" s="14" customFormat="1">
      <c r="A74" s="102" t="s">
        <v>195</v>
      </c>
      <c r="B74" s="82" t="s">
        <v>910</v>
      </c>
      <c r="C74" s="24">
        <f t="shared" ref="C74:C84" si="5">+D74+E74+F74</f>
        <v>0</v>
      </c>
      <c r="D74" s="20"/>
      <c r="E74" s="13"/>
      <c r="F74" s="16"/>
      <c r="H74" s="14">
        <f t="shared" si="0"/>
        <v>0</v>
      </c>
    </row>
    <row r="75" spans="1:8" s="14" customFormat="1">
      <c r="A75" s="102" t="s">
        <v>196</v>
      </c>
      <c r="B75" s="82" t="s">
        <v>246</v>
      </c>
      <c r="C75" s="24">
        <f t="shared" si="5"/>
        <v>0</v>
      </c>
      <c r="D75" s="20"/>
      <c r="E75" s="13"/>
      <c r="F75" s="16"/>
      <c r="H75" s="14">
        <f t="shared" ref="H75:H138" si="6">+C75-D75-E75-F75</f>
        <v>0</v>
      </c>
    </row>
    <row r="76" spans="1:8" s="14" customFormat="1">
      <c r="A76" s="102" t="s">
        <v>197</v>
      </c>
      <c r="B76" s="82" t="s">
        <v>247</v>
      </c>
      <c r="C76" s="24">
        <f t="shared" si="5"/>
        <v>2876249</v>
      </c>
      <c r="D76" s="20">
        <v>2876249</v>
      </c>
      <c r="E76" s="13"/>
      <c r="F76" s="16"/>
      <c r="H76" s="14">
        <f t="shared" si="6"/>
        <v>0</v>
      </c>
    </row>
    <row r="77" spans="1:8" s="14" customFormat="1">
      <c r="A77" s="102" t="s">
        <v>198</v>
      </c>
      <c r="B77" s="82" t="s">
        <v>248</v>
      </c>
      <c r="C77" s="24">
        <f t="shared" si="5"/>
        <v>0</v>
      </c>
      <c r="D77" s="20"/>
      <c r="E77" s="13"/>
      <c r="F77" s="16"/>
      <c r="H77" s="14">
        <f t="shared" si="6"/>
        <v>0</v>
      </c>
    </row>
    <row r="78" spans="1:8" s="14" customFormat="1">
      <c r="A78" s="102" t="s">
        <v>199</v>
      </c>
      <c r="B78" s="82" t="s">
        <v>249</v>
      </c>
      <c r="C78" s="24">
        <f t="shared" si="5"/>
        <v>0</v>
      </c>
      <c r="D78" s="20"/>
      <c r="E78" s="13"/>
      <c r="F78" s="16"/>
      <c r="H78" s="14">
        <f t="shared" si="6"/>
        <v>0</v>
      </c>
    </row>
    <row r="79" spans="1:8" s="140" customFormat="1">
      <c r="A79" s="127" t="s">
        <v>200</v>
      </c>
      <c r="B79" s="128" t="s">
        <v>250</v>
      </c>
      <c r="C79" s="134">
        <f t="shared" si="5"/>
        <v>0</v>
      </c>
      <c r="D79" s="807"/>
      <c r="E79" s="808"/>
      <c r="F79" s="809"/>
      <c r="H79" s="140">
        <f t="shared" si="6"/>
        <v>0</v>
      </c>
    </row>
    <row r="80" spans="1:8" s="140" customFormat="1">
      <c r="A80" s="102" t="s">
        <v>203</v>
      </c>
      <c r="B80" s="82" t="s">
        <v>251</v>
      </c>
      <c r="C80" s="134">
        <f t="shared" si="5"/>
        <v>0</v>
      </c>
      <c r="D80" s="807"/>
      <c r="E80" s="808"/>
      <c r="F80" s="809"/>
      <c r="H80" s="140">
        <f t="shared" si="6"/>
        <v>0</v>
      </c>
    </row>
    <row r="81" spans="1:8" s="140" customFormat="1">
      <c r="A81" s="102" t="s">
        <v>201</v>
      </c>
      <c r="B81" s="82" t="s">
        <v>244</v>
      </c>
      <c r="C81" s="134">
        <f t="shared" si="5"/>
        <v>0</v>
      </c>
      <c r="D81" s="807"/>
      <c r="E81" s="808"/>
      <c r="F81" s="809"/>
      <c r="H81" s="140">
        <f t="shared" si="6"/>
        <v>0</v>
      </c>
    </row>
    <row r="82" spans="1:8" s="140" customFormat="1">
      <c r="A82" s="102" t="s">
        <v>912</v>
      </c>
      <c r="B82" s="82" t="s">
        <v>913</v>
      </c>
      <c r="C82" s="134">
        <f>+D82+E82+F82</f>
        <v>0</v>
      </c>
      <c r="D82" s="807"/>
      <c r="E82" s="808"/>
      <c r="F82" s="809"/>
      <c r="H82" s="140">
        <f t="shared" si="6"/>
        <v>0</v>
      </c>
    </row>
    <row r="83" spans="1:8" s="141" customFormat="1">
      <c r="A83" s="101" t="s">
        <v>74</v>
      </c>
      <c r="B83" s="83" t="s">
        <v>242</v>
      </c>
      <c r="C83" s="129">
        <f t="shared" si="5"/>
        <v>0</v>
      </c>
      <c r="D83" s="1329"/>
      <c r="E83" s="1330"/>
      <c r="F83" s="1331"/>
      <c r="H83" s="141">
        <f t="shared" si="6"/>
        <v>0</v>
      </c>
    </row>
    <row r="84" spans="1:8" s="141" customFormat="1">
      <c r="A84" s="94" t="s">
        <v>202</v>
      </c>
      <c r="B84" s="84" t="s">
        <v>243</v>
      </c>
      <c r="C84" s="142">
        <f t="shared" si="5"/>
        <v>0</v>
      </c>
      <c r="D84" s="1332"/>
      <c r="E84" s="1333"/>
      <c r="F84" s="1334"/>
      <c r="H84" s="141">
        <f t="shared" si="6"/>
        <v>0</v>
      </c>
    </row>
    <row r="85" spans="1:8" s="141" customFormat="1" ht="12.75" thickBot="1">
      <c r="A85" s="94" t="s">
        <v>914</v>
      </c>
      <c r="B85" s="84" t="s">
        <v>915</v>
      </c>
      <c r="C85" s="142">
        <f>+D85+E85+F85</f>
        <v>0</v>
      </c>
      <c r="D85" s="1332"/>
      <c r="E85" s="1333"/>
      <c r="F85" s="1334"/>
      <c r="H85" s="141">
        <f t="shared" si="6"/>
        <v>0</v>
      </c>
    </row>
    <row r="86" spans="1:8" s="143" customFormat="1" ht="12.75" thickBot="1">
      <c r="A86" s="99" t="s">
        <v>45</v>
      </c>
      <c r="B86" s="86" t="s">
        <v>304</v>
      </c>
      <c r="C86" s="130">
        <f>+C87</f>
        <v>10000</v>
      </c>
      <c r="D86" s="131">
        <f>+D87</f>
        <v>10000</v>
      </c>
      <c r="E86" s="132">
        <f>+E87</f>
        <v>0</v>
      </c>
      <c r="F86" s="133">
        <f>+F87</f>
        <v>0</v>
      </c>
      <c r="H86" s="143">
        <f t="shared" si="6"/>
        <v>0</v>
      </c>
    </row>
    <row r="87" spans="1:8" s="143" customFormat="1" ht="12.75" thickBot="1">
      <c r="A87" s="99" t="s">
        <v>44</v>
      </c>
      <c r="B87" s="80" t="s">
        <v>918</v>
      </c>
      <c r="C87" s="130">
        <f>+C88+C98+C99+C100</f>
        <v>10000</v>
      </c>
      <c r="D87" s="131">
        <f>+D88+D98+D99+D100</f>
        <v>10000</v>
      </c>
      <c r="E87" s="132">
        <f>+E88+E98+E99+E100</f>
        <v>0</v>
      </c>
      <c r="F87" s="133">
        <f>+F88+F98+F99+F100</f>
        <v>0</v>
      </c>
      <c r="H87" s="143">
        <f t="shared" si="6"/>
        <v>0</v>
      </c>
    </row>
    <row r="88" spans="1:8" s="141" customFormat="1">
      <c r="A88" s="100" t="s">
        <v>231</v>
      </c>
      <c r="B88" s="81" t="s">
        <v>970</v>
      </c>
      <c r="C88" s="136">
        <f>+C89+C90+C91+C92+C93+C94+C95+C96+C97</f>
        <v>10000</v>
      </c>
      <c r="D88" s="137">
        <f>+D89+D90+D91+D92+D93+D94+D95+D96+D97</f>
        <v>10000</v>
      </c>
      <c r="E88" s="138">
        <f>+E89+E90+E91+E92+E93+E94+E95+E96+E97</f>
        <v>0</v>
      </c>
      <c r="F88" s="139">
        <f>+F89+F90+F91+F92+F93+F94+F95+F96+F97</f>
        <v>0</v>
      </c>
      <c r="H88" s="141">
        <f t="shared" si="6"/>
        <v>0</v>
      </c>
    </row>
    <row r="89" spans="1:8" s="140" customFormat="1">
      <c r="A89" s="102" t="s">
        <v>232</v>
      </c>
      <c r="B89" s="82" t="s">
        <v>910</v>
      </c>
      <c r="C89" s="134">
        <f t="shared" ref="C89:C99" si="7">+D89+E89+F89</f>
        <v>10000</v>
      </c>
      <c r="D89" s="807">
        <v>10000</v>
      </c>
      <c r="E89" s="808"/>
      <c r="F89" s="809"/>
      <c r="H89" s="140">
        <f t="shared" si="6"/>
        <v>0</v>
      </c>
    </row>
    <row r="90" spans="1:8" s="140" customFormat="1">
      <c r="A90" s="102" t="s">
        <v>233</v>
      </c>
      <c r="B90" s="82" t="s">
        <v>246</v>
      </c>
      <c r="C90" s="134">
        <f t="shared" si="7"/>
        <v>0</v>
      </c>
      <c r="D90" s="807"/>
      <c r="E90" s="808"/>
      <c r="F90" s="809"/>
      <c r="H90" s="140">
        <f t="shared" si="6"/>
        <v>0</v>
      </c>
    </row>
    <row r="91" spans="1:8" s="140" customFormat="1">
      <c r="A91" s="102" t="s">
        <v>234</v>
      </c>
      <c r="B91" s="82" t="s">
        <v>247</v>
      </c>
      <c r="C91" s="134">
        <f t="shared" si="7"/>
        <v>0</v>
      </c>
      <c r="D91" s="807"/>
      <c r="E91" s="808"/>
      <c r="F91" s="809"/>
      <c r="H91" s="140">
        <f t="shared" si="6"/>
        <v>0</v>
      </c>
    </row>
    <row r="92" spans="1:8" s="140" customFormat="1">
      <c r="A92" s="102" t="s">
        <v>235</v>
      </c>
      <c r="B92" s="82" t="s">
        <v>248</v>
      </c>
      <c r="C92" s="134">
        <f t="shared" si="7"/>
        <v>0</v>
      </c>
      <c r="D92" s="807"/>
      <c r="E92" s="808"/>
      <c r="F92" s="809"/>
      <c r="H92" s="140">
        <f t="shared" si="6"/>
        <v>0</v>
      </c>
    </row>
    <row r="93" spans="1:8" s="140" customFormat="1">
      <c r="A93" s="102" t="s">
        <v>236</v>
      </c>
      <c r="B93" s="82" t="s">
        <v>249</v>
      </c>
      <c r="C93" s="134">
        <f t="shared" si="7"/>
        <v>0</v>
      </c>
      <c r="D93" s="807"/>
      <c r="E93" s="808"/>
      <c r="F93" s="809"/>
      <c r="H93" s="140">
        <f t="shared" si="6"/>
        <v>0</v>
      </c>
    </row>
    <row r="94" spans="1:8" s="140" customFormat="1">
      <c r="A94" s="127" t="s">
        <v>237</v>
      </c>
      <c r="B94" s="128" t="s">
        <v>250</v>
      </c>
      <c r="C94" s="134">
        <f t="shared" si="7"/>
        <v>0</v>
      </c>
      <c r="D94" s="807"/>
      <c r="E94" s="808"/>
      <c r="F94" s="809"/>
      <c r="H94" s="140">
        <f t="shared" si="6"/>
        <v>0</v>
      </c>
    </row>
    <row r="95" spans="1:8" s="14" customFormat="1">
      <c r="A95" s="102" t="s">
        <v>238</v>
      </c>
      <c r="B95" s="82" t="s">
        <v>251</v>
      </c>
      <c r="C95" s="24">
        <f t="shared" si="7"/>
        <v>0</v>
      </c>
      <c r="D95" s="20"/>
      <c r="E95" s="13"/>
      <c r="F95" s="16"/>
      <c r="H95" s="14">
        <f t="shared" si="6"/>
        <v>0</v>
      </c>
    </row>
    <row r="96" spans="1:8" s="14" customFormat="1">
      <c r="A96" s="102" t="s">
        <v>239</v>
      </c>
      <c r="B96" s="82" t="s">
        <v>244</v>
      </c>
      <c r="C96" s="24">
        <f t="shared" si="7"/>
        <v>0</v>
      </c>
      <c r="D96" s="20"/>
      <c r="E96" s="13"/>
      <c r="F96" s="16"/>
      <c r="H96" s="14">
        <f t="shared" si="6"/>
        <v>0</v>
      </c>
    </row>
    <row r="97" spans="1:8" s="14" customFormat="1">
      <c r="A97" s="102" t="s">
        <v>917</v>
      </c>
      <c r="B97" s="82" t="s">
        <v>913</v>
      </c>
      <c r="C97" s="24">
        <f>+D97+E97+F97</f>
        <v>0</v>
      </c>
      <c r="D97" s="20"/>
      <c r="E97" s="13"/>
      <c r="F97" s="16"/>
      <c r="H97" s="14">
        <f t="shared" si="6"/>
        <v>0</v>
      </c>
    </row>
    <row r="98" spans="1:8">
      <c r="A98" s="101" t="s">
        <v>240</v>
      </c>
      <c r="B98" s="83" t="s">
        <v>242</v>
      </c>
      <c r="C98" s="23">
        <f t="shared" si="7"/>
        <v>0</v>
      </c>
      <c r="D98" s="21"/>
      <c r="E98" s="12"/>
      <c r="F98" s="17"/>
      <c r="H98" s="4">
        <f t="shared" si="6"/>
        <v>0</v>
      </c>
    </row>
    <row r="99" spans="1:8">
      <c r="A99" s="94" t="s">
        <v>241</v>
      </c>
      <c r="B99" s="84" t="s">
        <v>243</v>
      </c>
      <c r="C99" s="26">
        <f t="shared" si="7"/>
        <v>0</v>
      </c>
      <c r="D99" s="27"/>
      <c r="E99" s="28"/>
      <c r="F99" s="29"/>
      <c r="H99" s="4">
        <f t="shared" si="6"/>
        <v>0</v>
      </c>
    </row>
    <row r="100" spans="1:8" ht="12.75" thickBot="1">
      <c r="A100" s="94" t="s">
        <v>919</v>
      </c>
      <c r="B100" s="84" t="s">
        <v>915</v>
      </c>
      <c r="C100" s="26">
        <f>+D100+E100+F100</f>
        <v>0</v>
      </c>
      <c r="D100" s="27"/>
      <c r="E100" s="28"/>
      <c r="F100" s="29"/>
      <c r="H100" s="4">
        <f t="shared" si="6"/>
        <v>0</v>
      </c>
    </row>
    <row r="101" spans="1:8" s="3" customFormat="1" ht="12.75" thickBot="1">
      <c r="A101" s="99" t="s">
        <v>43</v>
      </c>
      <c r="B101" s="85" t="s">
        <v>305</v>
      </c>
      <c r="C101" s="44">
        <f>+C71+C86</f>
        <v>2886249</v>
      </c>
      <c r="D101" s="33">
        <f>+D71+D86</f>
        <v>2886249</v>
      </c>
      <c r="E101" s="34">
        <f>+E71+E86</f>
        <v>0</v>
      </c>
      <c r="F101" s="35">
        <f>+F71+F86</f>
        <v>0</v>
      </c>
      <c r="H101" s="3">
        <f t="shared" si="6"/>
        <v>0</v>
      </c>
    </row>
    <row r="102" spans="1:8" s="3" customFormat="1" ht="12.75" thickBot="1">
      <c r="A102" s="103" t="s">
        <v>40</v>
      </c>
      <c r="B102" s="87" t="s">
        <v>306</v>
      </c>
      <c r="C102" s="45">
        <f>+C70+C101</f>
        <v>4468751</v>
      </c>
      <c r="D102" s="30">
        <f>+D70+D101</f>
        <v>4467651</v>
      </c>
      <c r="E102" s="31">
        <f>+E70+E101</f>
        <v>1100</v>
      </c>
      <c r="F102" s="32">
        <f>+F70+F101</f>
        <v>0</v>
      </c>
      <c r="H102" s="3">
        <f t="shared" si="6"/>
        <v>0</v>
      </c>
    </row>
    <row r="103" spans="1:8" s="3" customFormat="1">
      <c r="A103" s="66"/>
      <c r="B103" s="37"/>
      <c r="C103" s="37"/>
      <c r="D103" s="37"/>
      <c r="E103" s="37"/>
      <c r="F103" s="37"/>
    </row>
    <row r="104" spans="1:8" s="3" customFormat="1">
      <c r="A104" s="66"/>
      <c r="B104" s="37"/>
      <c r="C104" s="37"/>
      <c r="D104" s="37"/>
      <c r="E104" s="37"/>
      <c r="F104" s="37"/>
    </row>
    <row r="105" spans="1:8" s="65" customFormat="1" ht="15.75">
      <c r="A105" s="1210" t="s">
        <v>80</v>
      </c>
      <c r="B105" s="1210"/>
      <c r="C105" s="1210"/>
      <c r="D105" s="1210"/>
      <c r="E105" s="1210"/>
      <c r="F105" s="1210"/>
    </row>
    <row r="106" spans="1:8" s="46" customFormat="1" ht="12.75" thickBot="1">
      <c r="A106" s="48" t="s">
        <v>278</v>
      </c>
      <c r="F106" s="47" t="s">
        <v>280</v>
      </c>
    </row>
    <row r="107" spans="1:8" s="3" customFormat="1" ht="48.75" thickBot="1">
      <c r="A107" s="95" t="s">
        <v>17</v>
      </c>
      <c r="B107" s="96" t="s">
        <v>328</v>
      </c>
      <c r="C107" s="49" t="s">
        <v>1442</v>
      </c>
      <c r="D107" s="6" t="s">
        <v>51</v>
      </c>
      <c r="E107" s="7" t="s">
        <v>52</v>
      </c>
      <c r="F107" s="8" t="s">
        <v>53</v>
      </c>
    </row>
    <row r="108" spans="1:8" s="3" customFormat="1" ht="12.75" thickBot="1">
      <c r="A108" s="97" t="s">
        <v>252</v>
      </c>
      <c r="B108" s="98" t="s">
        <v>253</v>
      </c>
      <c r="C108" s="1215" t="s">
        <v>254</v>
      </c>
      <c r="D108" s="1216"/>
      <c r="E108" s="1216"/>
      <c r="F108" s="1217"/>
    </row>
    <row r="109" spans="1:8" s="3" customFormat="1" ht="12.75" thickBot="1">
      <c r="A109" s="99" t="s">
        <v>4</v>
      </c>
      <c r="B109" s="85" t="s">
        <v>307</v>
      </c>
      <c r="C109" s="44">
        <f>+C110+C114+C116+C123+C132</f>
        <v>3035060</v>
      </c>
      <c r="D109" s="33">
        <f>+D110+D114+D116+D123+D132</f>
        <v>3028636</v>
      </c>
      <c r="E109" s="34">
        <f>+E110+E114+E116+E123+E132</f>
        <v>6424</v>
      </c>
      <c r="F109" s="35">
        <f>+F110+F114+F116+F123+F132</f>
        <v>0</v>
      </c>
      <c r="H109" s="3">
        <f t="shared" si="6"/>
        <v>0</v>
      </c>
    </row>
    <row r="110" spans="1:8" s="3" customFormat="1" ht="12.75" thickBot="1">
      <c r="A110" s="99" t="s">
        <v>5</v>
      </c>
      <c r="B110" s="80" t="s">
        <v>308</v>
      </c>
      <c r="C110" s="44">
        <f>+C112+C113</f>
        <v>76485</v>
      </c>
      <c r="D110" s="33">
        <f>+D112+D113</f>
        <v>76485</v>
      </c>
      <c r="E110" s="34">
        <f>+E112+E113</f>
        <v>0</v>
      </c>
      <c r="F110" s="35">
        <f>+F112+F113</f>
        <v>0</v>
      </c>
      <c r="H110" s="3">
        <f t="shared" si="6"/>
        <v>0</v>
      </c>
    </row>
    <row r="111" spans="1:8" s="46" customFormat="1">
      <c r="A111" s="895" t="s">
        <v>348</v>
      </c>
      <c r="B111" s="896" t="s">
        <v>349</v>
      </c>
      <c r="C111" s="112">
        <f>+D111+E111+F111</f>
        <v>0</v>
      </c>
      <c r="D111" s="113"/>
      <c r="E111" s="114"/>
      <c r="F111" s="115"/>
      <c r="H111" s="46">
        <f t="shared" si="6"/>
        <v>0</v>
      </c>
    </row>
    <row r="112" spans="1:8">
      <c r="A112" s="100" t="s">
        <v>54</v>
      </c>
      <c r="B112" s="81" t="s">
        <v>126</v>
      </c>
      <c r="C112" s="36">
        <f>+D112+E112+F112</f>
        <v>33433</v>
      </c>
      <c r="D112" s="41">
        <v>33433</v>
      </c>
      <c r="E112" s="11"/>
      <c r="F112" s="42"/>
      <c r="H112" s="4">
        <f t="shared" si="6"/>
        <v>0</v>
      </c>
    </row>
    <row r="113" spans="1:8" ht="12.75" thickBot="1">
      <c r="A113" s="94" t="s">
        <v>55</v>
      </c>
      <c r="B113" s="84" t="s">
        <v>127</v>
      </c>
      <c r="C113" s="26">
        <f>+D113+E113+F113</f>
        <v>43051.999999999993</v>
      </c>
      <c r="D113" s="27">
        <v>43051.999999999993</v>
      </c>
      <c r="E113" s="28"/>
      <c r="F113" s="29"/>
      <c r="H113" s="4">
        <f t="shared" si="6"/>
        <v>0</v>
      </c>
    </row>
    <row r="114" spans="1:8" s="3" customFormat="1" ht="12.75" thickBot="1">
      <c r="A114" s="99" t="s">
        <v>6</v>
      </c>
      <c r="B114" s="80" t="s">
        <v>255</v>
      </c>
      <c r="C114" s="44">
        <f>+D114+E114+F114</f>
        <v>10414</v>
      </c>
      <c r="D114" s="33">
        <v>10414</v>
      </c>
      <c r="E114" s="34"/>
      <c r="F114" s="35"/>
      <c r="H114" s="3">
        <f t="shared" si="6"/>
        <v>0</v>
      </c>
    </row>
    <row r="115" spans="1:8" s="46" customFormat="1" ht="12.75" thickBot="1">
      <c r="A115" s="895" t="s">
        <v>345</v>
      </c>
      <c r="B115" s="896" t="s">
        <v>346</v>
      </c>
      <c r="C115" s="112">
        <f>+D115+E115+F115</f>
        <v>0</v>
      </c>
      <c r="D115" s="113"/>
      <c r="E115" s="114"/>
      <c r="F115" s="115"/>
      <c r="H115" s="46">
        <f t="shared" si="6"/>
        <v>0</v>
      </c>
    </row>
    <row r="116" spans="1:8" s="3" customFormat="1" ht="12.75" thickBot="1">
      <c r="A116" s="99" t="s">
        <v>3</v>
      </c>
      <c r="B116" s="80" t="s">
        <v>342</v>
      </c>
      <c r="C116" s="44">
        <f>+C118+C119+C120+C121+C122</f>
        <v>185775</v>
      </c>
      <c r="D116" s="33">
        <f>+D118+D119+D120+D121+D122</f>
        <v>183775</v>
      </c>
      <c r="E116" s="34">
        <f>+E118+E119+E120+E121+E122</f>
        <v>2000</v>
      </c>
      <c r="F116" s="35">
        <f>+F118+F119+F120+F121+F122</f>
        <v>0</v>
      </c>
      <c r="H116" s="3">
        <f t="shared" si="6"/>
        <v>0</v>
      </c>
    </row>
    <row r="117" spans="1:8" s="46" customFormat="1">
      <c r="A117" s="895" t="s">
        <v>340</v>
      </c>
      <c r="B117" s="896" t="s">
        <v>347</v>
      </c>
      <c r="C117" s="112">
        <f t="shared" ref="C117:C122" si="8">+D117+E117+F117</f>
        <v>0</v>
      </c>
      <c r="D117" s="113"/>
      <c r="E117" s="114"/>
      <c r="F117" s="115"/>
      <c r="H117" s="46">
        <f t="shared" si="6"/>
        <v>0</v>
      </c>
    </row>
    <row r="118" spans="1:8">
      <c r="A118" s="100" t="s">
        <v>61</v>
      </c>
      <c r="B118" s="81" t="s">
        <v>128</v>
      </c>
      <c r="C118" s="36">
        <f t="shared" si="8"/>
        <v>10482</v>
      </c>
      <c r="D118" s="41">
        <v>10482</v>
      </c>
      <c r="E118" s="11"/>
      <c r="F118" s="42"/>
      <c r="H118" s="4">
        <f t="shared" si="6"/>
        <v>0</v>
      </c>
    </row>
    <row r="119" spans="1:8">
      <c r="A119" s="101" t="s">
        <v>62</v>
      </c>
      <c r="B119" s="83" t="s">
        <v>129</v>
      </c>
      <c r="C119" s="23">
        <f t="shared" si="8"/>
        <v>16430</v>
      </c>
      <c r="D119" s="21">
        <v>16430</v>
      </c>
      <c r="E119" s="12"/>
      <c r="F119" s="17"/>
      <c r="H119" s="4">
        <f t="shared" si="6"/>
        <v>0</v>
      </c>
    </row>
    <row r="120" spans="1:8">
      <c r="A120" s="101" t="s">
        <v>63</v>
      </c>
      <c r="B120" s="83" t="s">
        <v>130</v>
      </c>
      <c r="C120" s="23">
        <f t="shared" si="8"/>
        <v>94931</v>
      </c>
      <c r="D120" s="21">
        <v>93357</v>
      </c>
      <c r="E120" s="12">
        <v>1574</v>
      </c>
      <c r="F120" s="17"/>
      <c r="H120" s="4">
        <f t="shared" si="6"/>
        <v>0</v>
      </c>
    </row>
    <row r="121" spans="1:8">
      <c r="A121" s="101" t="s">
        <v>64</v>
      </c>
      <c r="B121" s="83" t="s">
        <v>131</v>
      </c>
      <c r="C121" s="23">
        <f t="shared" si="8"/>
        <v>1000</v>
      </c>
      <c r="D121" s="21">
        <v>1000</v>
      </c>
      <c r="E121" s="12"/>
      <c r="F121" s="17"/>
      <c r="H121" s="4">
        <f t="shared" si="6"/>
        <v>0</v>
      </c>
    </row>
    <row r="122" spans="1:8" ht="12.75" thickBot="1">
      <c r="A122" s="94" t="s">
        <v>65</v>
      </c>
      <c r="B122" s="84" t="s">
        <v>132</v>
      </c>
      <c r="C122" s="26">
        <f t="shared" si="8"/>
        <v>62932</v>
      </c>
      <c r="D122" s="27">
        <v>62506</v>
      </c>
      <c r="E122" s="28">
        <v>426</v>
      </c>
      <c r="F122" s="29"/>
      <c r="H122" s="4">
        <f t="shared" si="6"/>
        <v>0</v>
      </c>
    </row>
    <row r="123" spans="1:8" s="3" customFormat="1" ht="12.75" thickBot="1">
      <c r="A123" s="99" t="s">
        <v>16</v>
      </c>
      <c r="B123" s="80" t="s">
        <v>309</v>
      </c>
      <c r="C123" s="44">
        <f>+C124+C125+C126+C127+C128+C129+C130+C131</f>
        <v>52779</v>
      </c>
      <c r="D123" s="33">
        <f>+D124+D125+D126+D127+D128+D129+D130+D131</f>
        <v>49355</v>
      </c>
      <c r="E123" s="34">
        <f>+E124+E125+E126+E127+E128+E129+E130+E131</f>
        <v>3424</v>
      </c>
      <c r="F123" s="35">
        <f>+F124+F125+F126+F127+F128+F129+F130+F131</f>
        <v>0</v>
      </c>
      <c r="H123" s="3">
        <f t="shared" si="6"/>
        <v>0</v>
      </c>
    </row>
    <row r="124" spans="1:8">
      <c r="A124" s="100" t="s">
        <v>226</v>
      </c>
      <c r="B124" s="81" t="s">
        <v>133</v>
      </c>
      <c r="C124" s="36">
        <f t="shared" ref="C124:C131" si="9">+D124+E124+F124</f>
        <v>0</v>
      </c>
      <c r="D124" s="41"/>
      <c r="E124" s="11"/>
      <c r="F124" s="42"/>
      <c r="H124" s="4">
        <f t="shared" si="6"/>
        <v>0</v>
      </c>
    </row>
    <row r="125" spans="1:8">
      <c r="A125" s="101" t="s">
        <v>227</v>
      </c>
      <c r="B125" s="83" t="s">
        <v>134</v>
      </c>
      <c r="C125" s="23">
        <f t="shared" si="9"/>
        <v>0</v>
      </c>
      <c r="D125" s="21"/>
      <c r="E125" s="12"/>
      <c r="F125" s="17"/>
      <c r="H125" s="4">
        <f t="shared" si="6"/>
        <v>0</v>
      </c>
    </row>
    <row r="126" spans="1:8">
      <c r="A126" s="101" t="s">
        <v>228</v>
      </c>
      <c r="B126" s="83" t="s">
        <v>135</v>
      </c>
      <c r="C126" s="23">
        <f t="shared" si="9"/>
        <v>0</v>
      </c>
      <c r="D126" s="21"/>
      <c r="E126" s="12"/>
      <c r="F126" s="17"/>
      <c r="H126" s="4">
        <f t="shared" si="6"/>
        <v>0</v>
      </c>
    </row>
    <row r="127" spans="1:8">
      <c r="A127" s="101" t="s">
        <v>256</v>
      </c>
      <c r="B127" s="83" t="s">
        <v>136</v>
      </c>
      <c r="C127" s="23">
        <f t="shared" si="9"/>
        <v>2400</v>
      </c>
      <c r="D127" s="21">
        <v>2400</v>
      </c>
      <c r="E127" s="12"/>
      <c r="F127" s="17"/>
      <c r="H127" s="4">
        <f t="shared" si="6"/>
        <v>0</v>
      </c>
    </row>
    <row r="128" spans="1:8">
      <c r="A128" s="101" t="s">
        <v>257</v>
      </c>
      <c r="B128" s="83" t="s">
        <v>137</v>
      </c>
      <c r="C128" s="23">
        <f t="shared" si="9"/>
        <v>0</v>
      </c>
      <c r="D128" s="21"/>
      <c r="E128" s="12"/>
      <c r="F128" s="17"/>
      <c r="H128" s="4">
        <f t="shared" si="6"/>
        <v>0</v>
      </c>
    </row>
    <row r="129" spans="1:8">
      <c r="A129" s="101" t="s">
        <v>258</v>
      </c>
      <c r="B129" s="83" t="s">
        <v>138</v>
      </c>
      <c r="C129" s="23">
        <f t="shared" si="9"/>
        <v>19200</v>
      </c>
      <c r="D129" s="21">
        <v>19200</v>
      </c>
      <c r="E129" s="12"/>
      <c r="F129" s="17"/>
      <c r="H129" s="4">
        <f t="shared" si="6"/>
        <v>0</v>
      </c>
    </row>
    <row r="130" spans="1:8">
      <c r="A130" s="101" t="s">
        <v>259</v>
      </c>
      <c r="B130" s="83" t="s">
        <v>139</v>
      </c>
      <c r="C130" s="23">
        <f t="shared" si="9"/>
        <v>8299</v>
      </c>
      <c r="D130" s="21">
        <v>4875</v>
      </c>
      <c r="E130" s="12">
        <v>3424</v>
      </c>
      <c r="F130" s="17"/>
      <c r="H130" s="4">
        <f t="shared" si="6"/>
        <v>0</v>
      </c>
    </row>
    <row r="131" spans="1:8" ht="12.75" thickBot="1">
      <c r="A131" s="94" t="s">
        <v>260</v>
      </c>
      <c r="B131" s="84" t="s">
        <v>140</v>
      </c>
      <c r="C131" s="26">
        <f t="shared" si="9"/>
        <v>22880</v>
      </c>
      <c r="D131" s="27">
        <v>22880</v>
      </c>
      <c r="E131" s="28"/>
      <c r="F131" s="29"/>
      <c r="H131" s="4">
        <f t="shared" si="6"/>
        <v>0</v>
      </c>
    </row>
    <row r="132" spans="1:8" s="3" customFormat="1" ht="12.75" thickBot="1">
      <c r="A132" s="99" t="s">
        <v>15</v>
      </c>
      <c r="B132" s="80" t="s">
        <v>923</v>
      </c>
      <c r="C132" s="44">
        <f>+C133+C134+C135+C136+C137+C138+C144+C140+C141+C142+C143+C145+C146</f>
        <v>2709607</v>
      </c>
      <c r="D132" s="33">
        <f>+D133+D134+D135+D136+D137+D138+D144+D140+D141+D142+D143+D145+D146</f>
        <v>2708607</v>
      </c>
      <c r="E132" s="34">
        <f>+E133+E134+E135+E136+E137+E138+E144+E140+E141+E142+E143+E145+E146</f>
        <v>1000</v>
      </c>
      <c r="F132" s="35">
        <f>+F133+F134+F135+F136+F137+F138+F144+F140+F141+F142+F143+F145+F146</f>
        <v>0</v>
      </c>
      <c r="H132" s="3">
        <f t="shared" si="6"/>
        <v>0</v>
      </c>
    </row>
    <row r="133" spans="1:8">
      <c r="A133" s="100" t="s">
        <v>87</v>
      </c>
      <c r="B133" s="81" t="s">
        <v>141</v>
      </c>
      <c r="C133" s="36">
        <f t="shared" ref="C133:C145" si="10">+D133+E133+F133</f>
        <v>0</v>
      </c>
      <c r="D133" s="41"/>
      <c r="E133" s="11"/>
      <c r="F133" s="42"/>
      <c r="H133" s="4">
        <f t="shared" si="6"/>
        <v>0</v>
      </c>
    </row>
    <row r="134" spans="1:8">
      <c r="A134" s="101" t="s">
        <v>88</v>
      </c>
      <c r="B134" s="83" t="s">
        <v>142</v>
      </c>
      <c r="C134" s="23">
        <f t="shared" si="10"/>
        <v>1000</v>
      </c>
      <c r="D134" s="21">
        <v>1000</v>
      </c>
      <c r="E134" s="12"/>
      <c r="F134" s="17"/>
      <c r="H134" s="4">
        <f t="shared" si="6"/>
        <v>0</v>
      </c>
    </row>
    <row r="135" spans="1:8">
      <c r="A135" s="101" t="s">
        <v>181</v>
      </c>
      <c r="B135" s="83" t="s">
        <v>143</v>
      </c>
      <c r="C135" s="23">
        <f t="shared" si="10"/>
        <v>0</v>
      </c>
      <c r="D135" s="21"/>
      <c r="E135" s="12"/>
      <c r="F135" s="17"/>
      <c r="H135" s="4">
        <f t="shared" si="6"/>
        <v>0</v>
      </c>
    </row>
    <row r="136" spans="1:8">
      <c r="A136" s="101" t="s">
        <v>182</v>
      </c>
      <c r="B136" s="83" t="s">
        <v>144</v>
      </c>
      <c r="C136" s="23">
        <f t="shared" si="10"/>
        <v>0</v>
      </c>
      <c r="D136" s="21"/>
      <c r="E136" s="12"/>
      <c r="F136" s="17"/>
      <c r="H136" s="4">
        <f t="shared" si="6"/>
        <v>0</v>
      </c>
    </row>
    <row r="137" spans="1:8">
      <c r="A137" s="101" t="s">
        <v>183</v>
      </c>
      <c r="B137" s="83" t="s">
        <v>145</v>
      </c>
      <c r="C137" s="23">
        <f t="shared" si="10"/>
        <v>0</v>
      </c>
      <c r="D137" s="21"/>
      <c r="E137" s="12"/>
      <c r="F137" s="17"/>
      <c r="H137" s="4">
        <f t="shared" si="6"/>
        <v>0</v>
      </c>
    </row>
    <row r="138" spans="1:8">
      <c r="A138" s="101" t="s">
        <v>261</v>
      </c>
      <c r="B138" s="83" t="s">
        <v>146</v>
      </c>
      <c r="C138" s="23">
        <f t="shared" si="10"/>
        <v>9332</v>
      </c>
      <c r="D138" s="21">
        <v>9332</v>
      </c>
      <c r="E138" s="12"/>
      <c r="F138" s="17"/>
      <c r="H138" s="4">
        <f t="shared" si="6"/>
        <v>0</v>
      </c>
    </row>
    <row r="139" spans="1:8" s="14" customFormat="1">
      <c r="A139" s="105" t="s">
        <v>335</v>
      </c>
      <c r="B139" s="894" t="s">
        <v>929</v>
      </c>
      <c r="C139" s="58">
        <f t="shared" si="10"/>
        <v>0</v>
      </c>
      <c r="D139" s="56"/>
      <c r="E139" s="54"/>
      <c r="F139" s="55"/>
      <c r="H139" s="14">
        <f t="shared" ref="H139:H202" si="11">+C139-D139-E139-F139</f>
        <v>0</v>
      </c>
    </row>
    <row r="140" spans="1:8">
      <c r="A140" s="101" t="s">
        <v>262</v>
      </c>
      <c r="B140" s="83" t="s">
        <v>147</v>
      </c>
      <c r="C140" s="23">
        <f t="shared" si="10"/>
        <v>0</v>
      </c>
      <c r="D140" s="21"/>
      <c r="E140" s="12"/>
      <c r="F140" s="17"/>
      <c r="H140" s="4">
        <f t="shared" si="11"/>
        <v>0</v>
      </c>
    </row>
    <row r="141" spans="1:8">
      <c r="A141" s="101" t="s">
        <v>263</v>
      </c>
      <c r="B141" s="83" t="s">
        <v>148</v>
      </c>
      <c r="C141" s="23">
        <f t="shared" si="10"/>
        <v>0</v>
      </c>
      <c r="D141" s="21"/>
      <c r="E141" s="12"/>
      <c r="F141" s="17"/>
      <c r="H141" s="4">
        <f t="shared" si="11"/>
        <v>0</v>
      </c>
    </row>
    <row r="142" spans="1:8">
      <c r="A142" s="101" t="s">
        <v>264</v>
      </c>
      <c r="B142" s="83" t="s">
        <v>149</v>
      </c>
      <c r="C142" s="23">
        <f t="shared" si="10"/>
        <v>0</v>
      </c>
      <c r="D142" s="21"/>
      <c r="E142" s="12"/>
      <c r="F142" s="17"/>
      <c r="H142" s="4">
        <f t="shared" si="11"/>
        <v>0</v>
      </c>
    </row>
    <row r="143" spans="1:8">
      <c r="A143" s="101" t="s">
        <v>265</v>
      </c>
      <c r="B143" s="83" t="s">
        <v>150</v>
      </c>
      <c r="C143" s="23">
        <f t="shared" si="10"/>
        <v>0</v>
      </c>
      <c r="D143" s="21"/>
      <c r="E143" s="12"/>
      <c r="F143" s="17"/>
      <c r="H143" s="4">
        <f t="shared" si="11"/>
        <v>0</v>
      </c>
    </row>
    <row r="144" spans="1:8">
      <c r="A144" s="101" t="s">
        <v>266</v>
      </c>
      <c r="B144" s="83" t="s">
        <v>924</v>
      </c>
      <c r="C144" s="23">
        <f>+D144+E144+F144</f>
        <v>0</v>
      </c>
      <c r="D144" s="21"/>
      <c r="E144" s="12"/>
      <c r="F144" s="17"/>
      <c r="H144" s="4">
        <f t="shared" si="11"/>
        <v>0</v>
      </c>
    </row>
    <row r="145" spans="1:8">
      <c r="A145" s="101" t="s">
        <v>267</v>
      </c>
      <c r="B145" s="83" t="s">
        <v>925</v>
      </c>
      <c r="C145" s="23">
        <f t="shared" si="10"/>
        <v>51350</v>
      </c>
      <c r="D145" s="21">
        <v>50350</v>
      </c>
      <c r="E145" s="12">
        <v>1000</v>
      </c>
      <c r="F145" s="17"/>
      <c r="H145" s="4">
        <f t="shared" si="11"/>
        <v>0</v>
      </c>
    </row>
    <row r="146" spans="1:8">
      <c r="A146" s="94" t="s">
        <v>920</v>
      </c>
      <c r="B146" s="84" t="s">
        <v>926</v>
      </c>
      <c r="C146" s="26">
        <f>+C147+C148</f>
        <v>2647925</v>
      </c>
      <c r="D146" s="27">
        <f>+D147+D148</f>
        <v>2647925</v>
      </c>
      <c r="E146" s="28">
        <f>+E147+E148</f>
        <v>0</v>
      </c>
      <c r="F146" s="29">
        <f>+F147+F148</f>
        <v>0</v>
      </c>
      <c r="H146" s="4">
        <f t="shared" si="11"/>
        <v>0</v>
      </c>
    </row>
    <row r="147" spans="1:8" s="14" customFormat="1">
      <c r="A147" s="105" t="s">
        <v>921</v>
      </c>
      <c r="B147" s="90" t="s">
        <v>927</v>
      </c>
      <c r="C147" s="58">
        <f>+D147+E147+F147</f>
        <v>15000</v>
      </c>
      <c r="D147" s="56">
        <v>15000</v>
      </c>
      <c r="E147" s="54"/>
      <c r="F147" s="55"/>
      <c r="H147" s="14">
        <f t="shared" si="11"/>
        <v>0</v>
      </c>
    </row>
    <row r="148" spans="1:8" s="14" customFormat="1" ht="12.75" thickBot="1">
      <c r="A148" s="105" t="s">
        <v>922</v>
      </c>
      <c r="B148" s="90" t="s">
        <v>928</v>
      </c>
      <c r="C148" s="58">
        <f>+D148+E148+F148</f>
        <v>2632925</v>
      </c>
      <c r="D148" s="56">
        <v>2632925</v>
      </c>
      <c r="E148" s="54"/>
      <c r="F148" s="55"/>
      <c r="H148" s="14">
        <f t="shared" si="11"/>
        <v>0</v>
      </c>
    </row>
    <row r="149" spans="1:8" s="3" customFormat="1" ht="12.75" thickBot="1">
      <c r="A149" s="99" t="s">
        <v>14</v>
      </c>
      <c r="B149" s="85" t="s">
        <v>310</v>
      </c>
      <c r="C149" s="44">
        <f>+C150+C159+C165</f>
        <v>487508</v>
      </c>
      <c r="D149" s="33">
        <f>+D150+D159+D165</f>
        <v>142258</v>
      </c>
      <c r="E149" s="34">
        <f>+E150+E159+E165</f>
        <v>345250</v>
      </c>
      <c r="F149" s="35">
        <f>+F150+F159+F165</f>
        <v>0</v>
      </c>
      <c r="H149" s="3">
        <f t="shared" si="11"/>
        <v>0</v>
      </c>
    </row>
    <row r="150" spans="1:8" s="3" customFormat="1" ht="12.75" thickBot="1">
      <c r="A150" s="99" t="s">
        <v>13</v>
      </c>
      <c r="B150" s="80" t="s">
        <v>311</v>
      </c>
      <c r="C150" s="44">
        <f>+C152+C153+C154+C155+C156+C157+C158</f>
        <v>420250</v>
      </c>
      <c r="D150" s="33">
        <f>+D152+D153+D154+D155+D156+D157+D158</f>
        <v>75000</v>
      </c>
      <c r="E150" s="34">
        <f>+E152+E153+E154+E155+E156+E157+E158</f>
        <v>345250</v>
      </c>
      <c r="F150" s="35">
        <f>+F152+F153+F154+F155+F156+F157+F158</f>
        <v>0</v>
      </c>
      <c r="H150" s="3">
        <f t="shared" si="11"/>
        <v>0</v>
      </c>
    </row>
    <row r="151" spans="1:8" s="46" customFormat="1">
      <c r="A151" s="895" t="s">
        <v>930</v>
      </c>
      <c r="B151" s="896" t="s">
        <v>341</v>
      </c>
      <c r="C151" s="112">
        <f t="shared" ref="C151:C158" si="12">+D151+E151+F151</f>
        <v>0</v>
      </c>
      <c r="D151" s="113"/>
      <c r="E151" s="114"/>
      <c r="F151" s="115"/>
      <c r="H151" s="46">
        <f t="shared" si="11"/>
        <v>0</v>
      </c>
    </row>
    <row r="152" spans="1:8">
      <c r="A152" s="100" t="s">
        <v>66</v>
      </c>
      <c r="B152" s="81" t="s">
        <v>151</v>
      </c>
      <c r="C152" s="36">
        <f t="shared" si="12"/>
        <v>11811</v>
      </c>
      <c r="D152" s="41">
        <v>11811</v>
      </c>
      <c r="E152" s="11"/>
      <c r="F152" s="42"/>
      <c r="H152" s="4">
        <f t="shared" si="11"/>
        <v>0</v>
      </c>
    </row>
    <row r="153" spans="1:8">
      <c r="A153" s="101" t="s">
        <v>67</v>
      </c>
      <c r="B153" s="83" t="s">
        <v>152</v>
      </c>
      <c r="C153" s="23">
        <f t="shared" si="12"/>
        <v>328543</v>
      </c>
      <c r="D153" s="21">
        <v>56693</v>
      </c>
      <c r="E153" s="12">
        <v>271850</v>
      </c>
      <c r="F153" s="17"/>
      <c r="H153" s="4">
        <f t="shared" si="11"/>
        <v>0</v>
      </c>
    </row>
    <row r="154" spans="1:8">
      <c r="A154" s="101" t="s">
        <v>68</v>
      </c>
      <c r="B154" s="83" t="s">
        <v>153</v>
      </c>
      <c r="C154" s="23">
        <f t="shared" si="12"/>
        <v>0</v>
      </c>
      <c r="D154" s="21"/>
      <c r="E154" s="12"/>
      <c r="F154" s="17"/>
      <c r="H154" s="4">
        <f t="shared" si="11"/>
        <v>0</v>
      </c>
    </row>
    <row r="155" spans="1:8">
      <c r="A155" s="101" t="s">
        <v>229</v>
      </c>
      <c r="B155" s="83" t="s">
        <v>154</v>
      </c>
      <c r="C155" s="23">
        <f t="shared" si="12"/>
        <v>1181</v>
      </c>
      <c r="D155" s="21">
        <v>1181</v>
      </c>
      <c r="E155" s="12"/>
      <c r="F155" s="17"/>
      <c r="H155" s="4">
        <f t="shared" si="11"/>
        <v>0</v>
      </c>
    </row>
    <row r="156" spans="1:8">
      <c r="A156" s="101" t="s">
        <v>230</v>
      </c>
      <c r="B156" s="83" t="s">
        <v>155</v>
      </c>
      <c r="C156" s="23">
        <f t="shared" si="12"/>
        <v>0</v>
      </c>
      <c r="D156" s="21"/>
      <c r="E156" s="12"/>
      <c r="F156" s="17"/>
      <c r="H156" s="4">
        <f t="shared" si="11"/>
        <v>0</v>
      </c>
    </row>
    <row r="157" spans="1:8">
      <c r="A157" s="101" t="s">
        <v>268</v>
      </c>
      <c r="B157" s="83" t="s">
        <v>156</v>
      </c>
      <c r="C157" s="23">
        <f t="shared" si="12"/>
        <v>0</v>
      </c>
      <c r="D157" s="21"/>
      <c r="E157" s="12"/>
      <c r="F157" s="17"/>
      <c r="H157" s="4">
        <f t="shared" si="11"/>
        <v>0</v>
      </c>
    </row>
    <row r="158" spans="1:8" ht="12.75" thickBot="1">
      <c r="A158" s="94" t="s">
        <v>269</v>
      </c>
      <c r="B158" s="84" t="s">
        <v>157</v>
      </c>
      <c r="C158" s="26">
        <f t="shared" si="12"/>
        <v>78715</v>
      </c>
      <c r="D158" s="27">
        <v>5315</v>
      </c>
      <c r="E158" s="28">
        <v>73400</v>
      </c>
      <c r="F158" s="29"/>
      <c r="H158" s="4">
        <f t="shared" si="11"/>
        <v>0</v>
      </c>
    </row>
    <row r="159" spans="1:8" s="3" customFormat="1" ht="12.75" thickBot="1">
      <c r="A159" s="99" t="s">
        <v>12</v>
      </c>
      <c r="B159" s="80" t="s">
        <v>312</v>
      </c>
      <c r="C159" s="44">
        <f>+C161+C162+C163+C164</f>
        <v>67258</v>
      </c>
      <c r="D159" s="33">
        <f>+D161+D162+D163+D164</f>
        <v>67258</v>
      </c>
      <c r="E159" s="34">
        <f>+E161+E162+E163+E164</f>
        <v>0</v>
      </c>
      <c r="F159" s="35">
        <f>+F161+F162+F163+F164</f>
        <v>0</v>
      </c>
      <c r="H159" s="3">
        <f t="shared" si="11"/>
        <v>0</v>
      </c>
    </row>
    <row r="160" spans="1:8" s="46" customFormat="1">
      <c r="A160" s="895" t="s">
        <v>343</v>
      </c>
      <c r="B160" s="896" t="s">
        <v>344</v>
      </c>
      <c r="C160" s="112">
        <f>+D160+E160+F160</f>
        <v>0</v>
      </c>
      <c r="D160" s="113"/>
      <c r="E160" s="114"/>
      <c r="F160" s="115"/>
      <c r="H160" s="46">
        <f t="shared" si="11"/>
        <v>0</v>
      </c>
    </row>
    <row r="161" spans="1:8">
      <c r="A161" s="100" t="s">
        <v>69</v>
      </c>
      <c r="B161" s="81" t="s">
        <v>158</v>
      </c>
      <c r="C161" s="36">
        <f>+D161+E161+F161</f>
        <v>52959</v>
      </c>
      <c r="D161" s="41">
        <v>52959</v>
      </c>
      <c r="E161" s="11"/>
      <c r="F161" s="42"/>
      <c r="H161" s="4">
        <f t="shared" si="11"/>
        <v>0</v>
      </c>
    </row>
    <row r="162" spans="1:8">
      <c r="A162" s="101" t="s">
        <v>70</v>
      </c>
      <c r="B162" s="83" t="s">
        <v>159</v>
      </c>
      <c r="C162" s="23">
        <f>+D162+E162+F162</f>
        <v>0</v>
      </c>
      <c r="D162" s="21"/>
      <c r="E162" s="12"/>
      <c r="F162" s="17"/>
      <c r="H162" s="4">
        <f t="shared" si="11"/>
        <v>0</v>
      </c>
    </row>
    <row r="163" spans="1:8">
      <c r="A163" s="101" t="s">
        <v>71</v>
      </c>
      <c r="B163" s="83" t="s">
        <v>160</v>
      </c>
      <c r="C163" s="23">
        <f>+D163+E163+F163</f>
        <v>0</v>
      </c>
      <c r="D163" s="21"/>
      <c r="E163" s="12"/>
      <c r="F163" s="17"/>
      <c r="H163" s="4">
        <f t="shared" si="11"/>
        <v>0</v>
      </c>
    </row>
    <row r="164" spans="1:8" ht="12.75" thickBot="1">
      <c r="A164" s="94" t="s">
        <v>72</v>
      </c>
      <c r="B164" s="84" t="s">
        <v>161</v>
      </c>
      <c r="C164" s="26">
        <f>+D164+E164+F164</f>
        <v>14299</v>
      </c>
      <c r="D164" s="27">
        <v>14299</v>
      </c>
      <c r="E164" s="28"/>
      <c r="F164" s="29"/>
      <c r="H164" s="4">
        <f t="shared" si="11"/>
        <v>0</v>
      </c>
    </row>
    <row r="165" spans="1:8" s="3" customFormat="1" ht="12.75" thickBot="1">
      <c r="A165" s="99" t="s">
        <v>11</v>
      </c>
      <c r="B165" s="80" t="s">
        <v>932</v>
      </c>
      <c r="C165" s="44">
        <f>+C166+C167+C168+C169+C171+C172+C173+C174+C175</f>
        <v>0</v>
      </c>
      <c r="D165" s="33">
        <f>+D166+D167+D168+D169+D171+D172+D173+D174+D175</f>
        <v>0</v>
      </c>
      <c r="E165" s="34">
        <f>+E166+E167+E168+E169+E171+E172+E173+E174+E175</f>
        <v>0</v>
      </c>
      <c r="F165" s="35">
        <f>+F166+F167+F168+F169+F171+F172+F173+F174+F175</f>
        <v>0</v>
      </c>
      <c r="H165" s="3">
        <f t="shared" si="11"/>
        <v>0</v>
      </c>
    </row>
    <row r="166" spans="1:8">
      <c r="A166" s="100" t="s">
        <v>270</v>
      </c>
      <c r="B166" s="81" t="s">
        <v>162</v>
      </c>
      <c r="C166" s="36">
        <f t="shared" ref="C166:C175" si="13">+D166+E166+F166</f>
        <v>0</v>
      </c>
      <c r="D166" s="41"/>
      <c r="E166" s="11"/>
      <c r="F166" s="42"/>
      <c r="H166" s="4">
        <f t="shared" si="11"/>
        <v>0</v>
      </c>
    </row>
    <row r="167" spans="1:8">
      <c r="A167" s="101" t="s">
        <v>271</v>
      </c>
      <c r="B167" s="83" t="s">
        <v>163</v>
      </c>
      <c r="C167" s="23">
        <f t="shared" si="13"/>
        <v>0</v>
      </c>
      <c r="D167" s="21"/>
      <c r="E167" s="12"/>
      <c r="F167" s="17"/>
      <c r="H167" s="4">
        <f t="shared" si="11"/>
        <v>0</v>
      </c>
    </row>
    <row r="168" spans="1:8">
      <c r="A168" s="101" t="s">
        <v>272</v>
      </c>
      <c r="B168" s="83" t="s">
        <v>164</v>
      </c>
      <c r="C168" s="23">
        <f t="shared" si="13"/>
        <v>0</v>
      </c>
      <c r="D168" s="21"/>
      <c r="E168" s="12"/>
      <c r="F168" s="17"/>
      <c r="H168" s="4">
        <f t="shared" si="11"/>
        <v>0</v>
      </c>
    </row>
    <row r="169" spans="1:8">
      <c r="A169" s="101" t="s">
        <v>273</v>
      </c>
      <c r="B169" s="83" t="s">
        <v>165</v>
      </c>
      <c r="C169" s="23">
        <f t="shared" si="13"/>
        <v>0</v>
      </c>
      <c r="D169" s="21"/>
      <c r="E169" s="12"/>
      <c r="F169" s="17"/>
      <c r="H169" s="4">
        <f t="shared" si="11"/>
        <v>0</v>
      </c>
    </row>
    <row r="170" spans="1:8" s="14" customFormat="1">
      <c r="A170" s="105" t="s">
        <v>338</v>
      </c>
      <c r="B170" s="894" t="s">
        <v>339</v>
      </c>
      <c r="C170" s="58">
        <f t="shared" si="13"/>
        <v>0</v>
      </c>
      <c r="D170" s="56"/>
      <c r="E170" s="54"/>
      <c r="F170" s="55"/>
      <c r="H170" s="14">
        <f t="shared" si="11"/>
        <v>0</v>
      </c>
    </row>
    <row r="171" spans="1:8">
      <c r="A171" s="101" t="s">
        <v>274</v>
      </c>
      <c r="B171" s="83" t="s">
        <v>166</v>
      </c>
      <c r="C171" s="23">
        <f t="shared" si="13"/>
        <v>0</v>
      </c>
      <c r="D171" s="21"/>
      <c r="E171" s="12"/>
      <c r="F171" s="17"/>
      <c r="H171" s="4">
        <f t="shared" si="11"/>
        <v>0</v>
      </c>
    </row>
    <row r="172" spans="1:8">
      <c r="A172" s="101" t="s">
        <v>275</v>
      </c>
      <c r="B172" s="83" t="s">
        <v>167</v>
      </c>
      <c r="C172" s="23">
        <f t="shared" si="13"/>
        <v>0</v>
      </c>
      <c r="D172" s="21"/>
      <c r="E172" s="12"/>
      <c r="F172" s="17"/>
      <c r="H172" s="4">
        <f t="shared" si="11"/>
        <v>0</v>
      </c>
    </row>
    <row r="173" spans="1:8">
      <c r="A173" s="101" t="s">
        <v>276</v>
      </c>
      <c r="B173" s="83" t="s">
        <v>168</v>
      </c>
      <c r="C173" s="23">
        <f t="shared" si="13"/>
        <v>0</v>
      </c>
      <c r="D173" s="21"/>
      <c r="E173" s="12"/>
      <c r="F173" s="17"/>
      <c r="H173" s="4">
        <f t="shared" si="11"/>
        <v>0</v>
      </c>
    </row>
    <row r="174" spans="1:8">
      <c r="A174" s="101" t="s">
        <v>277</v>
      </c>
      <c r="B174" s="83" t="s">
        <v>933</v>
      </c>
      <c r="C174" s="23">
        <f>+D174+E174+F174</f>
        <v>0</v>
      </c>
      <c r="D174" s="21"/>
      <c r="E174" s="12"/>
      <c r="F174" s="17"/>
      <c r="H174" s="4">
        <f t="shared" si="11"/>
        <v>0</v>
      </c>
    </row>
    <row r="175" spans="1:8" ht="12.75" thickBot="1">
      <c r="A175" s="94" t="s">
        <v>931</v>
      </c>
      <c r="B175" s="84" t="s">
        <v>934</v>
      </c>
      <c r="C175" s="26">
        <f t="shared" si="13"/>
        <v>0</v>
      </c>
      <c r="D175" s="27"/>
      <c r="E175" s="28"/>
      <c r="F175" s="29"/>
      <c r="H175" s="4">
        <f t="shared" si="11"/>
        <v>0</v>
      </c>
    </row>
    <row r="176" spans="1:8" s="3" customFormat="1" ht="12.75" thickBot="1">
      <c r="A176" s="99" t="s">
        <v>10</v>
      </c>
      <c r="B176" s="85" t="s">
        <v>313</v>
      </c>
      <c r="C176" s="44">
        <f>+C109+C149</f>
        <v>3522568</v>
      </c>
      <c r="D176" s="33">
        <f>+D109+D149</f>
        <v>3170894</v>
      </c>
      <c r="E176" s="34">
        <f>+E109+E149</f>
        <v>351674</v>
      </c>
      <c r="F176" s="35">
        <f>+F109+F149</f>
        <v>0</v>
      </c>
      <c r="H176" s="3">
        <f t="shared" si="11"/>
        <v>0</v>
      </c>
    </row>
    <row r="177" spans="1:8" s="3" customFormat="1" ht="12.75" thickBot="1">
      <c r="A177" s="99" t="s">
        <v>9</v>
      </c>
      <c r="B177" s="86" t="s">
        <v>314</v>
      </c>
      <c r="C177" s="44">
        <f>+C178</f>
        <v>929711</v>
      </c>
      <c r="D177" s="33">
        <f>+D178</f>
        <v>922614</v>
      </c>
      <c r="E177" s="34">
        <f>+E178</f>
        <v>7097</v>
      </c>
      <c r="F177" s="35">
        <f>+F178</f>
        <v>0</v>
      </c>
      <c r="H177" s="3">
        <f t="shared" si="11"/>
        <v>0</v>
      </c>
    </row>
    <row r="178" spans="1:8" s="3" customFormat="1" ht="12.75" thickBot="1">
      <c r="A178" s="99" t="s">
        <v>45</v>
      </c>
      <c r="B178" s="80" t="s">
        <v>941</v>
      </c>
      <c r="C178" s="44">
        <f>+C179+C189+C190+C191</f>
        <v>929711</v>
      </c>
      <c r="D178" s="33">
        <f>+D179+D189+D190+D191</f>
        <v>922614</v>
      </c>
      <c r="E178" s="34">
        <f>+E179+E189+E190+E191</f>
        <v>7097</v>
      </c>
      <c r="F178" s="35">
        <f>+F179+F189+F190+F191</f>
        <v>0</v>
      </c>
      <c r="H178" s="3">
        <f t="shared" si="11"/>
        <v>0</v>
      </c>
    </row>
    <row r="179" spans="1:8">
      <c r="A179" s="100" t="s">
        <v>75</v>
      </c>
      <c r="B179" s="81" t="s">
        <v>942</v>
      </c>
      <c r="C179" s="36">
        <f>+C180+C181+C182+C183+C184+C185+C186+C187+C188</f>
        <v>929711</v>
      </c>
      <c r="D179" s="691">
        <f>+D180+D181+D182+D183+D184+D185+D186+D187+D188</f>
        <v>922614</v>
      </c>
      <c r="E179" s="60">
        <f>+E180+E181+E182+E183+E184+E185+E186+E187+E188</f>
        <v>7097</v>
      </c>
      <c r="F179" s="61">
        <f>+F180+F181+F182+F183+F184+F185+F186+F187+F188</f>
        <v>0</v>
      </c>
      <c r="H179" s="4">
        <f t="shared" si="11"/>
        <v>0</v>
      </c>
    </row>
    <row r="180" spans="1:8" s="14" customFormat="1">
      <c r="A180" s="102" t="s">
        <v>204</v>
      </c>
      <c r="B180" s="82" t="s">
        <v>169</v>
      </c>
      <c r="C180" s="24">
        <f t="shared" ref="C180:C190" si="14">+D180+E180+F180</f>
        <v>0</v>
      </c>
      <c r="D180" s="544"/>
      <c r="E180" s="13"/>
      <c r="F180" s="16"/>
      <c r="H180" s="14">
        <f t="shared" si="11"/>
        <v>0</v>
      </c>
    </row>
    <row r="181" spans="1:8" s="14" customFormat="1">
      <c r="A181" s="102" t="s">
        <v>205</v>
      </c>
      <c r="B181" s="82" t="s">
        <v>170</v>
      </c>
      <c r="C181" s="24">
        <f t="shared" si="14"/>
        <v>0</v>
      </c>
      <c r="D181" s="544"/>
      <c r="E181" s="13"/>
      <c r="F181" s="16"/>
      <c r="H181" s="14">
        <f t="shared" si="11"/>
        <v>0</v>
      </c>
    </row>
    <row r="182" spans="1:8" s="14" customFormat="1">
      <c r="A182" s="102" t="s">
        <v>206</v>
      </c>
      <c r="B182" s="82" t="s">
        <v>171</v>
      </c>
      <c r="C182" s="24">
        <f t="shared" si="14"/>
        <v>0</v>
      </c>
      <c r="D182" s="544"/>
      <c r="E182" s="13"/>
      <c r="F182" s="16"/>
      <c r="H182" s="14">
        <f t="shared" si="11"/>
        <v>0</v>
      </c>
    </row>
    <row r="183" spans="1:8" s="14" customFormat="1">
      <c r="A183" s="102" t="s">
        <v>207</v>
      </c>
      <c r="B183" s="82" t="s">
        <v>172</v>
      </c>
      <c r="C183" s="24">
        <f t="shared" si="14"/>
        <v>30446</v>
      </c>
      <c r="D183" s="544">
        <v>30446</v>
      </c>
      <c r="E183" s="13"/>
      <c r="F183" s="16"/>
      <c r="H183" s="14">
        <f t="shared" si="11"/>
        <v>0</v>
      </c>
    </row>
    <row r="184" spans="1:8" s="140" customFormat="1">
      <c r="A184" s="127" t="s">
        <v>208</v>
      </c>
      <c r="B184" s="128" t="s">
        <v>173</v>
      </c>
      <c r="C184" s="134">
        <f t="shared" si="14"/>
        <v>899265</v>
      </c>
      <c r="D184" s="966">
        <f>+'1.2.mell._HKÖH_Mérleg2020'!D79+'1.3.mell._HVÓBKI_Mérleg2020'!D79+'1.4.mell._HKK_Mérleg2020'!D79+'1.5._mell._MŐSZ_Mérleg2020'!D79+'1.6._mell._HVGYKCSSZ_Mérleg2020'!D79</f>
        <v>892168</v>
      </c>
      <c r="E184" s="807">
        <f>+'1.2.mell._HKÖH_Mérleg2020'!E79+'1.3.mell._HVÓBKI_Mérleg2020'!E79+'1.4.mell._HKK_Mérleg2020'!E79+'1.5._mell._MŐSZ_Mérleg2020'!E79+'1.6._mell._HVGYKCSSZ_Mérleg2020'!E79</f>
        <v>7097</v>
      </c>
      <c r="F184" s="967">
        <f>+'1.2.mell._HKÖH_Mérleg2020'!F79+'1.3.mell._HVÓBKI_Mérleg2020'!F79+'1.4.mell._HKK_Mérleg2020'!F79+'1.5._mell._MŐSZ_Mérleg2020'!F79+'1.6._mell._HVGYKCSSZ_Mérleg2020'!F79</f>
        <v>0</v>
      </c>
      <c r="H184" s="140">
        <f t="shared" si="11"/>
        <v>0</v>
      </c>
    </row>
    <row r="185" spans="1:8" s="14" customFormat="1">
      <c r="A185" s="102" t="s">
        <v>209</v>
      </c>
      <c r="B185" s="82" t="s">
        <v>178</v>
      </c>
      <c r="C185" s="24">
        <f t="shared" si="14"/>
        <v>0</v>
      </c>
      <c r="D185" s="544"/>
      <c r="E185" s="13"/>
      <c r="F185" s="16"/>
      <c r="H185" s="14">
        <f t="shared" si="11"/>
        <v>0</v>
      </c>
    </row>
    <row r="186" spans="1:8" s="14" customFormat="1">
      <c r="A186" s="102" t="s">
        <v>210</v>
      </c>
      <c r="B186" s="82" t="s">
        <v>174</v>
      </c>
      <c r="C186" s="24">
        <f t="shared" si="14"/>
        <v>0</v>
      </c>
      <c r="D186" s="544"/>
      <c r="E186" s="13"/>
      <c r="F186" s="16"/>
      <c r="H186" s="14">
        <f t="shared" si="11"/>
        <v>0</v>
      </c>
    </row>
    <row r="187" spans="1:8" s="14" customFormat="1">
      <c r="A187" s="102" t="s">
        <v>211</v>
      </c>
      <c r="B187" s="82" t="s">
        <v>175</v>
      </c>
      <c r="C187" s="24">
        <f t="shared" si="14"/>
        <v>0</v>
      </c>
      <c r="D187" s="544"/>
      <c r="E187" s="13"/>
      <c r="F187" s="16"/>
      <c r="H187" s="14">
        <f t="shared" si="11"/>
        <v>0</v>
      </c>
    </row>
    <row r="188" spans="1:8" s="14" customFormat="1">
      <c r="A188" s="102" t="s">
        <v>935</v>
      </c>
      <c r="B188" s="82" t="s">
        <v>937</v>
      </c>
      <c r="C188" s="24">
        <f>+D188+E188+F188</f>
        <v>0</v>
      </c>
      <c r="D188" s="544"/>
      <c r="E188" s="13"/>
      <c r="F188" s="16"/>
      <c r="H188" s="14">
        <f t="shared" si="11"/>
        <v>0</v>
      </c>
    </row>
    <row r="189" spans="1:8">
      <c r="A189" s="101" t="s">
        <v>76</v>
      </c>
      <c r="B189" s="83" t="s">
        <v>176</v>
      </c>
      <c r="C189" s="23">
        <f t="shared" si="14"/>
        <v>0</v>
      </c>
      <c r="D189" s="543"/>
      <c r="E189" s="12"/>
      <c r="F189" s="17"/>
      <c r="H189" s="4">
        <f t="shared" si="11"/>
        <v>0</v>
      </c>
    </row>
    <row r="190" spans="1:8">
      <c r="A190" s="94" t="s">
        <v>77</v>
      </c>
      <c r="B190" s="84" t="s">
        <v>177</v>
      </c>
      <c r="C190" s="26">
        <f t="shared" si="14"/>
        <v>0</v>
      </c>
      <c r="D190" s="542"/>
      <c r="E190" s="28"/>
      <c r="F190" s="29"/>
      <c r="H190" s="4">
        <f t="shared" si="11"/>
        <v>0</v>
      </c>
    </row>
    <row r="191" spans="1:8" ht="12.75" thickBot="1">
      <c r="A191" s="94" t="s">
        <v>940</v>
      </c>
      <c r="B191" s="84" t="s">
        <v>938</v>
      </c>
      <c r="C191" s="26">
        <f>+D191+E191+F191</f>
        <v>0</v>
      </c>
      <c r="D191" s="545"/>
      <c r="E191" s="18"/>
      <c r="F191" s="50"/>
      <c r="H191" s="4">
        <f t="shared" si="11"/>
        <v>0</v>
      </c>
    </row>
    <row r="192" spans="1:8" s="3" customFormat="1" ht="12.75" thickBot="1">
      <c r="A192" s="99" t="s">
        <v>44</v>
      </c>
      <c r="B192" s="85" t="s">
        <v>315</v>
      </c>
      <c r="C192" s="44">
        <f>+C193</f>
        <v>16472</v>
      </c>
      <c r="D192" s="33">
        <f>+D193</f>
        <v>15472</v>
      </c>
      <c r="E192" s="34">
        <f>+E193</f>
        <v>1000</v>
      </c>
      <c r="F192" s="35">
        <f>+F193</f>
        <v>0</v>
      </c>
      <c r="H192" s="3">
        <f t="shared" si="11"/>
        <v>0</v>
      </c>
    </row>
    <row r="193" spans="1:8" s="3" customFormat="1" ht="12.75" thickBot="1">
      <c r="A193" s="99" t="s">
        <v>43</v>
      </c>
      <c r="B193" s="80" t="s">
        <v>936</v>
      </c>
      <c r="C193" s="44">
        <f>+C194+C204+C205+C206</f>
        <v>16472</v>
      </c>
      <c r="D193" s="33">
        <f>+D194+D204+D205+D206</f>
        <v>15472</v>
      </c>
      <c r="E193" s="34">
        <f>+E194+E204+E205+E206</f>
        <v>1000</v>
      </c>
      <c r="F193" s="35">
        <f>+F194+F204+F205+F206</f>
        <v>0</v>
      </c>
      <c r="H193" s="3">
        <f t="shared" si="11"/>
        <v>0</v>
      </c>
    </row>
    <row r="194" spans="1:8">
      <c r="A194" s="100" t="s">
        <v>78</v>
      </c>
      <c r="B194" s="81" t="s">
        <v>971</v>
      </c>
      <c r="C194" s="36">
        <f>+C195+C196+C197+C198+C199+C200+C201+C202+C203</f>
        <v>16472</v>
      </c>
      <c r="D194" s="691">
        <f>+D195+D196+D197+D198+D199+D200+D201+D202+D203</f>
        <v>15472</v>
      </c>
      <c r="E194" s="60">
        <f>+E195+E196+E197+E198+E199+E200+E201+E202+E203</f>
        <v>1000</v>
      </c>
      <c r="F194" s="61">
        <f>+F195+F196+F197+F198+F199+F200+F201+F202+F203</f>
        <v>0</v>
      </c>
      <c r="H194" s="4">
        <f t="shared" si="11"/>
        <v>0</v>
      </c>
    </row>
    <row r="195" spans="1:8" s="14" customFormat="1">
      <c r="A195" s="102" t="s">
        <v>212</v>
      </c>
      <c r="B195" s="82" t="s">
        <v>169</v>
      </c>
      <c r="C195" s="24">
        <f t="shared" ref="C195:C205" si="15">+D195+E195+F195</f>
        <v>0</v>
      </c>
      <c r="D195" s="544"/>
      <c r="E195" s="13"/>
      <c r="F195" s="16"/>
      <c r="H195" s="14">
        <f t="shared" si="11"/>
        <v>0</v>
      </c>
    </row>
    <row r="196" spans="1:8" s="14" customFormat="1">
      <c r="A196" s="102" t="s">
        <v>213</v>
      </c>
      <c r="B196" s="82" t="s">
        <v>170</v>
      </c>
      <c r="C196" s="24">
        <f t="shared" si="15"/>
        <v>0</v>
      </c>
      <c r="D196" s="544"/>
      <c r="E196" s="13"/>
      <c r="F196" s="16"/>
      <c r="H196" s="14">
        <f t="shared" si="11"/>
        <v>0</v>
      </c>
    </row>
    <row r="197" spans="1:8" s="14" customFormat="1">
      <c r="A197" s="102" t="s">
        <v>214</v>
      </c>
      <c r="B197" s="82" t="s">
        <v>171</v>
      </c>
      <c r="C197" s="24">
        <f t="shared" si="15"/>
        <v>0</v>
      </c>
      <c r="D197" s="544"/>
      <c r="E197" s="13"/>
      <c r="F197" s="16"/>
      <c r="H197" s="14">
        <f t="shared" si="11"/>
        <v>0</v>
      </c>
    </row>
    <row r="198" spans="1:8" s="14" customFormat="1">
      <c r="A198" s="102" t="s">
        <v>215</v>
      </c>
      <c r="B198" s="82" t="s">
        <v>172</v>
      </c>
      <c r="C198" s="24">
        <f t="shared" si="15"/>
        <v>0</v>
      </c>
      <c r="D198" s="544"/>
      <c r="E198" s="13"/>
      <c r="F198" s="16"/>
      <c r="H198" s="14">
        <f t="shared" si="11"/>
        <v>0</v>
      </c>
    </row>
    <row r="199" spans="1:8" s="140" customFormat="1">
      <c r="A199" s="127" t="s">
        <v>216</v>
      </c>
      <c r="B199" s="128" t="s">
        <v>173</v>
      </c>
      <c r="C199" s="134">
        <f t="shared" si="15"/>
        <v>16472</v>
      </c>
      <c r="D199" s="966">
        <f>+'1.2.mell._HKÖH_Mérleg2020'!D94+'1.3.mell._HVÓBKI_Mérleg2020'!D94+'1.4.mell._HKK_Mérleg2020'!D94+'1.5._mell._MŐSZ_Mérleg2020'!D94+'1.6._mell._HVGYKCSSZ_Mérleg2020'!D94</f>
        <v>15472</v>
      </c>
      <c r="E199" s="807">
        <f>+'1.2.mell._HKÖH_Mérleg2020'!E94+'1.3.mell._HVÓBKI_Mérleg2020'!E94+'1.4.mell._HKK_Mérleg2020'!E94+'1.5._mell._MŐSZ_Mérleg2020'!E94+'1.6._mell._HVGYKCSSZ_Mérleg2020'!E94</f>
        <v>1000</v>
      </c>
      <c r="F199" s="967">
        <f>+'1.2.mell._HKÖH_Mérleg2020'!F94+'1.3.mell._HVÓBKI_Mérleg2020'!F94+'1.4.mell._HKK_Mérleg2020'!F94+'1.5._mell._MŐSZ_Mérleg2020'!F94+'1.6._mell._HVGYKCSSZ_Mérleg2020'!F94</f>
        <v>0</v>
      </c>
      <c r="H199" s="140">
        <f t="shared" si="11"/>
        <v>0</v>
      </c>
    </row>
    <row r="200" spans="1:8" s="14" customFormat="1">
      <c r="A200" s="102" t="s">
        <v>217</v>
      </c>
      <c r="B200" s="82" t="s">
        <v>178</v>
      </c>
      <c r="C200" s="24">
        <f t="shared" si="15"/>
        <v>0</v>
      </c>
      <c r="D200" s="544"/>
      <c r="E200" s="13"/>
      <c r="F200" s="16"/>
      <c r="H200" s="14">
        <f t="shared" si="11"/>
        <v>0</v>
      </c>
    </row>
    <row r="201" spans="1:8" s="14" customFormat="1">
      <c r="A201" s="102" t="s">
        <v>218</v>
      </c>
      <c r="B201" s="82" t="s">
        <v>174</v>
      </c>
      <c r="C201" s="24">
        <f t="shared" si="15"/>
        <v>0</v>
      </c>
      <c r="D201" s="544"/>
      <c r="E201" s="13"/>
      <c r="F201" s="16"/>
      <c r="H201" s="14">
        <f t="shared" si="11"/>
        <v>0</v>
      </c>
    </row>
    <row r="202" spans="1:8" s="14" customFormat="1">
      <c r="A202" s="102" t="s">
        <v>219</v>
      </c>
      <c r="B202" s="82" t="s">
        <v>175</v>
      </c>
      <c r="C202" s="24">
        <f t="shared" si="15"/>
        <v>0</v>
      </c>
      <c r="D202" s="544"/>
      <c r="E202" s="13"/>
      <c r="F202" s="16"/>
      <c r="H202" s="14">
        <f t="shared" si="11"/>
        <v>0</v>
      </c>
    </row>
    <row r="203" spans="1:8" s="14" customFormat="1">
      <c r="A203" s="102" t="s">
        <v>935</v>
      </c>
      <c r="B203" s="82" t="s">
        <v>937</v>
      </c>
      <c r="C203" s="24">
        <f>+D203+E203+F203</f>
        <v>0</v>
      </c>
      <c r="D203" s="544"/>
      <c r="E203" s="13"/>
      <c r="F203" s="16"/>
      <c r="H203" s="14">
        <f t="shared" ref="H203:H242" si="16">+C203-D203-E203-F203</f>
        <v>0</v>
      </c>
    </row>
    <row r="204" spans="1:8">
      <c r="A204" s="101" t="s">
        <v>79</v>
      </c>
      <c r="B204" s="83" t="s">
        <v>176</v>
      </c>
      <c r="C204" s="23">
        <f t="shared" si="15"/>
        <v>0</v>
      </c>
      <c r="D204" s="543"/>
      <c r="E204" s="12"/>
      <c r="F204" s="17"/>
      <c r="H204" s="4">
        <f t="shared" si="16"/>
        <v>0</v>
      </c>
    </row>
    <row r="205" spans="1:8">
      <c r="A205" s="94" t="s">
        <v>220</v>
      </c>
      <c r="B205" s="84" t="s">
        <v>177</v>
      </c>
      <c r="C205" s="26">
        <f t="shared" si="15"/>
        <v>0</v>
      </c>
      <c r="D205" s="542"/>
      <c r="E205" s="28"/>
      <c r="F205" s="29"/>
      <c r="H205" s="4">
        <f t="shared" si="16"/>
        <v>0</v>
      </c>
    </row>
    <row r="206" spans="1:8" ht="12.75" thickBot="1">
      <c r="A206" s="94" t="s">
        <v>939</v>
      </c>
      <c r="B206" s="84" t="s">
        <v>938</v>
      </c>
      <c r="C206" s="26">
        <f>+D206+E206+F206</f>
        <v>0</v>
      </c>
      <c r="D206" s="545"/>
      <c r="E206" s="18"/>
      <c r="F206" s="50"/>
      <c r="H206" s="4">
        <f t="shared" si="16"/>
        <v>0</v>
      </c>
    </row>
    <row r="207" spans="1:8" s="3" customFormat="1" ht="12.75" thickBot="1">
      <c r="A207" s="99" t="s">
        <v>40</v>
      </c>
      <c r="B207" s="85" t="s">
        <v>316</v>
      </c>
      <c r="C207" s="44">
        <f>+C177+C192</f>
        <v>946183</v>
      </c>
      <c r="D207" s="33">
        <f>+D177+D192</f>
        <v>938086</v>
      </c>
      <c r="E207" s="34">
        <f>+E177+E192</f>
        <v>8097</v>
      </c>
      <c r="F207" s="35">
        <f>+F177+F192</f>
        <v>0</v>
      </c>
      <c r="H207" s="3">
        <f t="shared" si="16"/>
        <v>0</v>
      </c>
    </row>
    <row r="208" spans="1:8" s="3" customFormat="1" ht="12.75" thickBot="1">
      <c r="A208" s="103" t="s">
        <v>39</v>
      </c>
      <c r="B208" s="87" t="s">
        <v>334</v>
      </c>
      <c r="C208" s="45">
        <f>+C176+C207</f>
        <v>4468751</v>
      </c>
      <c r="D208" s="30">
        <f>+D176+D207</f>
        <v>4108980</v>
      </c>
      <c r="E208" s="31">
        <f>+E176+E207</f>
        <v>359771</v>
      </c>
      <c r="F208" s="32">
        <f>+F176+F207</f>
        <v>0</v>
      </c>
      <c r="H208" s="3">
        <f t="shared" si="16"/>
        <v>0</v>
      </c>
    </row>
    <row r="211" spans="1:28" s="1" customFormat="1" ht="15.75">
      <c r="A211" s="1211" t="s">
        <v>89</v>
      </c>
      <c r="B211" s="1211"/>
      <c r="C211" s="1211"/>
      <c r="D211" s="1211"/>
      <c r="E211" s="1211"/>
      <c r="F211" s="121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s="46" customFormat="1" ht="12.75" thickBot="1">
      <c r="A212" s="48" t="s">
        <v>281</v>
      </c>
      <c r="F212" s="47" t="s">
        <v>280</v>
      </c>
    </row>
    <row r="213" spans="1:28" s="3" customFormat="1" ht="12.75" thickBot="1">
      <c r="A213" s="99" t="s">
        <v>4</v>
      </c>
      <c r="B213" s="85" t="s">
        <v>317</v>
      </c>
      <c r="C213" s="44">
        <f>+C214+C215</f>
        <v>-1940066</v>
      </c>
      <c r="D213" s="33">
        <f>+D214+D215</f>
        <v>-1589492</v>
      </c>
      <c r="E213" s="34">
        <f>+E214+E215</f>
        <v>-350574</v>
      </c>
      <c r="F213" s="35">
        <f>+F214+F215</f>
        <v>0</v>
      </c>
      <c r="H213" s="3">
        <f t="shared" si="16"/>
        <v>0</v>
      </c>
    </row>
    <row r="214" spans="1:28">
      <c r="A214" s="100" t="s">
        <v>81</v>
      </c>
      <c r="B214" s="88" t="s">
        <v>318</v>
      </c>
      <c r="C214" s="36">
        <f>+C10-C109</f>
        <v>-1526284</v>
      </c>
      <c r="D214" s="41">
        <f>+D10-D109</f>
        <v>-1519860</v>
      </c>
      <c r="E214" s="11">
        <f>+E10-E109</f>
        <v>-6424</v>
      </c>
      <c r="F214" s="42">
        <f>+F10-F109</f>
        <v>0</v>
      </c>
      <c r="H214" s="4">
        <f t="shared" si="16"/>
        <v>0</v>
      </c>
    </row>
    <row r="215" spans="1:28" ht="12.75" thickBot="1">
      <c r="A215" s="104" t="s">
        <v>82</v>
      </c>
      <c r="B215" s="89" t="s">
        <v>319</v>
      </c>
      <c r="C215" s="25">
        <f>+C50-C149</f>
        <v>-413782</v>
      </c>
      <c r="D215" s="51">
        <f>+D50-D149</f>
        <v>-69632</v>
      </c>
      <c r="E215" s="18">
        <f>+E50-E149</f>
        <v>-344150</v>
      </c>
      <c r="F215" s="50">
        <f>+F50-F149</f>
        <v>0</v>
      </c>
      <c r="H215" s="4">
        <f t="shared" si="16"/>
        <v>0</v>
      </c>
    </row>
    <row r="218" spans="1:28" s="1" customFormat="1" ht="15.75">
      <c r="A218" s="1211" t="s">
        <v>90</v>
      </c>
      <c r="B218" s="1211"/>
      <c r="C218" s="1211"/>
      <c r="D218" s="1211"/>
      <c r="E218" s="1211"/>
      <c r="F218" s="121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s="46" customFormat="1" ht="12.75" thickBot="1">
      <c r="A219" s="48" t="s">
        <v>282</v>
      </c>
      <c r="F219" s="47" t="s">
        <v>280</v>
      </c>
    </row>
    <row r="220" spans="1:28" s="3" customFormat="1" ht="12.75" thickBot="1">
      <c r="A220" s="99" t="s">
        <v>4</v>
      </c>
      <c r="B220" s="85" t="s">
        <v>320</v>
      </c>
      <c r="C220" s="44">
        <f>+C221+C228</f>
        <v>1940066</v>
      </c>
      <c r="D220" s="33">
        <f>+D221+D228</f>
        <v>1948163</v>
      </c>
      <c r="E220" s="34">
        <f>+E221+E228</f>
        <v>-8097</v>
      </c>
      <c r="F220" s="35">
        <f>+F221+F228</f>
        <v>0</v>
      </c>
      <c r="H220" s="3">
        <f t="shared" si="16"/>
        <v>0</v>
      </c>
    </row>
    <row r="221" spans="1:28" s="3" customFormat="1" ht="12.75" thickBot="1">
      <c r="A221" s="99" t="s">
        <v>5</v>
      </c>
      <c r="B221" s="80" t="s">
        <v>321</v>
      </c>
      <c r="C221" s="44">
        <f>+C222-C225</f>
        <v>1946538</v>
      </c>
      <c r="D221" s="33">
        <f>+D222-D225</f>
        <v>1953635</v>
      </c>
      <c r="E221" s="34">
        <f>+E222-E225</f>
        <v>-7097</v>
      </c>
      <c r="F221" s="35">
        <f>+F222-F225</f>
        <v>0</v>
      </c>
      <c r="H221" s="3">
        <f t="shared" si="16"/>
        <v>0</v>
      </c>
    </row>
    <row r="222" spans="1:28">
      <c r="A222" s="100" t="s">
        <v>54</v>
      </c>
      <c r="B222" s="81" t="s">
        <v>322</v>
      </c>
      <c r="C222" s="36">
        <f>+C223+C224</f>
        <v>2876249</v>
      </c>
      <c r="D222" s="41">
        <f>+D223+D224</f>
        <v>2876249</v>
      </c>
      <c r="E222" s="11">
        <f>+E223+E224</f>
        <v>0</v>
      </c>
      <c r="F222" s="42">
        <f>+F223+F224</f>
        <v>0</v>
      </c>
      <c r="H222" s="4">
        <f t="shared" si="16"/>
        <v>0</v>
      </c>
    </row>
    <row r="223" spans="1:28" s="14" customFormat="1">
      <c r="A223" s="102" t="s">
        <v>189</v>
      </c>
      <c r="B223" s="82" t="s">
        <v>284</v>
      </c>
      <c r="C223" s="24">
        <f>+C76+C80</f>
        <v>2876249</v>
      </c>
      <c r="D223" s="20">
        <f>+D76+D80</f>
        <v>2876249</v>
      </c>
      <c r="E223" s="13">
        <f>+E76+E80</f>
        <v>0</v>
      </c>
      <c r="F223" s="16">
        <f>+F76+F80</f>
        <v>0</v>
      </c>
      <c r="H223" s="14">
        <f t="shared" si="16"/>
        <v>0</v>
      </c>
    </row>
    <row r="224" spans="1:28" s="14" customFormat="1">
      <c r="A224" s="102" t="s">
        <v>190</v>
      </c>
      <c r="B224" s="82" t="s">
        <v>285</v>
      </c>
      <c r="C224" s="24">
        <f>+C74+C75+C77+C78+C79+C81</f>
        <v>0</v>
      </c>
      <c r="D224" s="20">
        <f>+D74+D75+D77+D78+D79+D81</f>
        <v>0</v>
      </c>
      <c r="E224" s="13">
        <f>+E74+E75+E77+E78+E79+E81</f>
        <v>0</v>
      </c>
      <c r="F224" s="16">
        <f>+F74+F75+F77+F78+F79+F81</f>
        <v>0</v>
      </c>
      <c r="H224" s="14">
        <f t="shared" si="16"/>
        <v>0</v>
      </c>
    </row>
    <row r="225" spans="1:28">
      <c r="A225" s="101" t="s">
        <v>55</v>
      </c>
      <c r="B225" s="83" t="s">
        <v>323</v>
      </c>
      <c r="C225" s="23">
        <f>+C227</f>
        <v>929711</v>
      </c>
      <c r="D225" s="21">
        <f>+D227</f>
        <v>922614</v>
      </c>
      <c r="E225" s="12">
        <f>+E227</f>
        <v>7097</v>
      </c>
      <c r="F225" s="17">
        <f>+F227</f>
        <v>0</v>
      </c>
      <c r="H225" s="4">
        <f t="shared" si="16"/>
        <v>0</v>
      </c>
    </row>
    <row r="226" spans="1:28" s="14" customFormat="1">
      <c r="A226" s="102" t="s">
        <v>56</v>
      </c>
      <c r="B226" s="82" t="s">
        <v>286</v>
      </c>
      <c r="C226" s="24">
        <f>+C185</f>
        <v>0</v>
      </c>
      <c r="D226" s="20">
        <f>+D185</f>
        <v>0</v>
      </c>
      <c r="E226" s="13">
        <f>+E185</f>
        <v>0</v>
      </c>
      <c r="F226" s="16">
        <f>+F185</f>
        <v>0</v>
      </c>
      <c r="H226" s="14">
        <f t="shared" si="16"/>
        <v>0</v>
      </c>
    </row>
    <row r="227" spans="1:28" s="14" customFormat="1" ht="12.75" thickBot="1">
      <c r="A227" s="105" t="s">
        <v>57</v>
      </c>
      <c r="B227" s="90" t="s">
        <v>287</v>
      </c>
      <c r="C227" s="58">
        <f>+C180+C181+C182+C183+C184+C186+C187</f>
        <v>929711</v>
      </c>
      <c r="D227" s="56">
        <f>+D180+D181+D182+D183+D184+D186+D187</f>
        <v>922614</v>
      </c>
      <c r="E227" s="54">
        <f>+E180+E181+E182+E183+E184+E186+E187</f>
        <v>7097</v>
      </c>
      <c r="F227" s="55">
        <f>+F180+F181+F182+F183+F184+F186+F187</f>
        <v>0</v>
      </c>
      <c r="H227" s="14">
        <f t="shared" si="16"/>
        <v>0</v>
      </c>
    </row>
    <row r="228" spans="1:28" s="3" customFormat="1" ht="12.75" thickBot="1">
      <c r="A228" s="99" t="s">
        <v>6</v>
      </c>
      <c r="B228" s="80" t="s">
        <v>324</v>
      </c>
      <c r="C228" s="44">
        <f>+C229-C232</f>
        <v>-6472</v>
      </c>
      <c r="D228" s="33">
        <f>+D229-D232</f>
        <v>-5472</v>
      </c>
      <c r="E228" s="34">
        <f>+E229-E232</f>
        <v>-1000</v>
      </c>
      <c r="F228" s="35">
        <f>+F229-F232</f>
        <v>0</v>
      </c>
      <c r="H228" s="3">
        <f t="shared" si="16"/>
        <v>0</v>
      </c>
    </row>
    <row r="229" spans="1:28">
      <c r="A229" s="100" t="s">
        <v>58</v>
      </c>
      <c r="B229" s="81" t="s">
        <v>325</v>
      </c>
      <c r="C229" s="36">
        <f>+C230+C231</f>
        <v>10000</v>
      </c>
      <c r="D229" s="41">
        <f>+D230+D231</f>
        <v>10000</v>
      </c>
      <c r="E229" s="11">
        <f>+E230+E231</f>
        <v>0</v>
      </c>
      <c r="F229" s="42">
        <f>+F230+F231</f>
        <v>0</v>
      </c>
      <c r="H229" s="4">
        <f t="shared" si="16"/>
        <v>0</v>
      </c>
    </row>
    <row r="230" spans="1:28" s="14" customFormat="1">
      <c r="A230" s="102" t="s">
        <v>292</v>
      </c>
      <c r="B230" s="82" t="s">
        <v>290</v>
      </c>
      <c r="C230" s="24">
        <f>+C91+C95</f>
        <v>0</v>
      </c>
      <c r="D230" s="20">
        <f>+D91+D95</f>
        <v>0</v>
      </c>
      <c r="E230" s="13">
        <f>+E91+E95</f>
        <v>0</v>
      </c>
      <c r="F230" s="16">
        <f>+F91+F95</f>
        <v>0</v>
      </c>
      <c r="H230" s="14">
        <f t="shared" si="16"/>
        <v>0</v>
      </c>
    </row>
    <row r="231" spans="1:28" s="14" customFormat="1">
      <c r="A231" s="102" t="s">
        <v>293</v>
      </c>
      <c r="B231" s="82" t="s">
        <v>291</v>
      </c>
      <c r="C231" s="24">
        <f>+C89+C90+C92+C93+C94+C96</f>
        <v>10000</v>
      </c>
      <c r="D231" s="20">
        <f>+D89+D90+D92+D93+D94+D96</f>
        <v>10000</v>
      </c>
      <c r="E231" s="13">
        <f>+E89+E90+E92+E93+E94+E96</f>
        <v>0</v>
      </c>
      <c r="F231" s="16">
        <f>+F89+F90+F92+F93+F94+F96</f>
        <v>0</v>
      </c>
      <c r="H231" s="14">
        <f t="shared" si="16"/>
        <v>0</v>
      </c>
    </row>
    <row r="232" spans="1:28">
      <c r="A232" s="101" t="s">
        <v>59</v>
      </c>
      <c r="B232" s="83" t="s">
        <v>326</v>
      </c>
      <c r="C232" s="23">
        <f>+C233+C234</f>
        <v>16472</v>
      </c>
      <c r="D232" s="21">
        <f>+D233+D234</f>
        <v>15472</v>
      </c>
      <c r="E232" s="12">
        <f>+E233+E234</f>
        <v>1000</v>
      </c>
      <c r="F232" s="17">
        <f>+F233+F234</f>
        <v>0</v>
      </c>
      <c r="H232" s="4">
        <f t="shared" si="16"/>
        <v>0</v>
      </c>
    </row>
    <row r="233" spans="1:28" s="14" customFormat="1">
      <c r="A233" s="102" t="s">
        <v>294</v>
      </c>
      <c r="B233" s="82" t="s">
        <v>288</v>
      </c>
      <c r="C233" s="24">
        <f>+C200</f>
        <v>0</v>
      </c>
      <c r="D233" s="20">
        <f>+D200</f>
        <v>0</v>
      </c>
      <c r="E233" s="13">
        <f>+E200</f>
        <v>0</v>
      </c>
      <c r="F233" s="16">
        <f>+F200</f>
        <v>0</v>
      </c>
      <c r="H233" s="14">
        <f t="shared" si="16"/>
        <v>0</v>
      </c>
    </row>
    <row r="234" spans="1:28" s="14" customFormat="1" ht="12.75" thickBot="1">
      <c r="A234" s="106" t="s">
        <v>295</v>
      </c>
      <c r="B234" s="91" t="s">
        <v>289</v>
      </c>
      <c r="C234" s="59">
        <f>+C195+C196+C197+C198+C199+C201+C202</f>
        <v>16472</v>
      </c>
      <c r="D234" s="57">
        <f>+D195+D196+D197+D198+D199+D201+D202</f>
        <v>15472</v>
      </c>
      <c r="E234" s="52">
        <f>+E195+E196+E197+E198+E199+E201+E202</f>
        <v>1000</v>
      </c>
      <c r="F234" s="53">
        <f>+F195+F196+F197+F198+F199+F201+F202</f>
        <v>0</v>
      </c>
      <c r="H234" s="14">
        <f t="shared" si="16"/>
        <v>0</v>
      </c>
    </row>
    <row r="237" spans="1:28" s="1" customFormat="1" ht="15.75">
      <c r="A237" s="1211" t="s">
        <v>1460</v>
      </c>
      <c r="B237" s="1211"/>
      <c r="C237" s="1211"/>
      <c r="D237" s="1211"/>
      <c r="E237" s="1211"/>
      <c r="F237" s="121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spans="1:28" s="46" customFormat="1" ht="12.75" thickBot="1">
      <c r="A238" s="48" t="s">
        <v>283</v>
      </c>
      <c r="F238" s="47"/>
    </row>
    <row r="239" spans="1:28" s="3" customFormat="1">
      <c r="A239" s="107" t="s">
        <v>4</v>
      </c>
      <c r="B239" s="92" t="s">
        <v>91</v>
      </c>
      <c r="C239" s="67">
        <f>+D239+E239+F239</f>
        <v>1</v>
      </c>
      <c r="D239" s="68">
        <v>1</v>
      </c>
      <c r="E239" s="69"/>
      <c r="F239" s="70"/>
      <c r="H239" s="3">
        <f t="shared" si="16"/>
        <v>0</v>
      </c>
    </row>
    <row r="240" spans="1:28" s="14" customFormat="1">
      <c r="A240" s="105" t="s">
        <v>350</v>
      </c>
      <c r="B240" s="116" t="s">
        <v>351</v>
      </c>
      <c r="C240" s="117">
        <f>+D240+E240+F240</f>
        <v>0</v>
      </c>
      <c r="D240" s="118"/>
      <c r="E240" s="119"/>
      <c r="F240" s="120"/>
      <c r="H240" s="14">
        <f t="shared" si="16"/>
        <v>0</v>
      </c>
    </row>
    <row r="241" spans="1:8" s="3" customFormat="1" ht="12.75" thickBot="1">
      <c r="A241" s="108" t="s">
        <v>5</v>
      </c>
      <c r="B241" s="93" t="s">
        <v>92</v>
      </c>
      <c r="C241" s="71">
        <f>+D241+E241+F241</f>
        <v>148</v>
      </c>
      <c r="D241" s="72">
        <v>148</v>
      </c>
      <c r="E241" s="73"/>
      <c r="F241" s="74"/>
      <c r="H241" s="3">
        <f t="shared" si="16"/>
        <v>0</v>
      </c>
    </row>
    <row r="242" spans="1:8" s="3" customFormat="1" ht="12.75" thickBot="1">
      <c r="A242" s="99" t="s">
        <v>6</v>
      </c>
      <c r="B242" s="85" t="s">
        <v>329</v>
      </c>
      <c r="C242" s="75">
        <f>+C239+C241</f>
        <v>149</v>
      </c>
      <c r="D242" s="76">
        <f>+D239+D241</f>
        <v>149</v>
      </c>
      <c r="E242" s="77">
        <f>+E239+E241</f>
        <v>0</v>
      </c>
      <c r="F242" s="78">
        <f>+F239+F241</f>
        <v>0</v>
      </c>
      <c r="H242" s="3">
        <f t="shared" si="16"/>
        <v>0</v>
      </c>
    </row>
  </sheetData>
  <mergeCells count="9">
    <mergeCell ref="A211:F211"/>
    <mergeCell ref="A218:F218"/>
    <mergeCell ref="A237:F237"/>
    <mergeCell ref="A3:F3"/>
    <mergeCell ref="A4:F4"/>
    <mergeCell ref="A6:F6"/>
    <mergeCell ref="C9:F9"/>
    <mergeCell ref="A105:F105"/>
    <mergeCell ref="C108:F108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44" fitToHeight="2" orientation="portrait" r:id="rId1"/>
  <headerFooter>
    <oddHeader>&amp;C 1.1. melléklet - &amp;P. oldal</oddHeader>
  </headerFooter>
  <rowBreaks count="1" manualBreakCount="1">
    <brk id="104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Munka9">
    <tabColor rgb="FF00B0F0"/>
  </sheetPr>
  <dimension ref="A1:AB242"/>
  <sheetViews>
    <sheetView zoomScaleNormal="100" workbookViewId="0"/>
  </sheetViews>
  <sheetFormatPr defaultColWidth="9.140625" defaultRowHeight="12"/>
  <cols>
    <col min="1" max="1" width="6.5703125" style="4" customWidth="1"/>
    <col min="2" max="2" width="109.5703125" style="4" bestFit="1" customWidth="1"/>
    <col min="3" max="6" width="9.28515625" style="4" customWidth="1"/>
    <col min="7" max="7" width="9.140625" style="4"/>
    <col min="8" max="8" width="9.140625" style="4" hidden="1" customWidth="1"/>
    <col min="9" max="16384" width="9.140625" style="4"/>
  </cols>
  <sheetData>
    <row r="1" spans="1:8" s="63" customFormat="1" ht="15.75">
      <c r="F1" s="64" t="s">
        <v>354</v>
      </c>
    </row>
    <row r="2" spans="1:8" s="63" customFormat="1" ht="15.75"/>
    <row r="3" spans="1:8" s="65" customFormat="1" ht="15.75">
      <c r="A3" s="1210" t="s">
        <v>868</v>
      </c>
      <c r="B3" s="1210"/>
      <c r="C3" s="1210"/>
      <c r="D3" s="1210"/>
      <c r="E3" s="1210"/>
      <c r="F3" s="1210"/>
    </row>
    <row r="4" spans="1:8" s="65" customFormat="1" ht="15.75">
      <c r="A4" s="1210" t="s">
        <v>1444</v>
      </c>
      <c r="B4" s="1210"/>
      <c r="C4" s="1210"/>
      <c r="D4" s="1210"/>
      <c r="E4" s="1210"/>
      <c r="F4" s="1210"/>
    </row>
    <row r="5" spans="1:8" s="63" customFormat="1" ht="15.75"/>
    <row r="6" spans="1:8" s="65" customFormat="1" ht="15.75">
      <c r="A6" s="1210" t="s">
        <v>48</v>
      </c>
      <c r="B6" s="1210"/>
      <c r="C6" s="1210"/>
      <c r="D6" s="1210"/>
      <c r="E6" s="1210"/>
      <c r="F6" s="1210"/>
    </row>
    <row r="7" spans="1:8" s="46" customFormat="1" ht="12.75" thickBot="1">
      <c r="A7" s="48" t="s">
        <v>279</v>
      </c>
      <c r="F7" s="47" t="s">
        <v>280</v>
      </c>
    </row>
    <row r="8" spans="1:8" s="9" customFormat="1" ht="54" customHeight="1" thickBot="1">
      <c r="A8" s="95" t="s">
        <v>17</v>
      </c>
      <c r="B8" s="109" t="s">
        <v>327</v>
      </c>
      <c r="C8" s="5" t="s">
        <v>1442</v>
      </c>
      <c r="D8" s="6" t="s">
        <v>51</v>
      </c>
      <c r="E8" s="7" t="s">
        <v>52</v>
      </c>
      <c r="F8" s="8" t="s">
        <v>53</v>
      </c>
    </row>
    <row r="9" spans="1:8" s="3" customFormat="1" ht="13.5" customHeight="1" thickBot="1">
      <c r="A9" s="99" t="s">
        <v>252</v>
      </c>
      <c r="B9" s="110" t="s">
        <v>253</v>
      </c>
      <c r="C9" s="1218" t="s">
        <v>254</v>
      </c>
      <c r="D9" s="1219"/>
      <c r="E9" s="1219"/>
      <c r="F9" s="1220"/>
    </row>
    <row r="10" spans="1:8" s="3" customFormat="1" ht="12.75" thickBot="1">
      <c r="A10" s="111" t="s">
        <v>4</v>
      </c>
      <c r="B10" s="79" t="s">
        <v>296</v>
      </c>
      <c r="C10" s="43">
        <f>+C11+C25+C32+C44</f>
        <v>41459</v>
      </c>
      <c r="D10" s="38">
        <f>+D11+D25+D32+D44</f>
        <v>9308</v>
      </c>
      <c r="E10" s="39">
        <f>+E11+E25+E32+E44</f>
        <v>32151</v>
      </c>
      <c r="F10" s="40">
        <f>+F11+F25+F32+F44</f>
        <v>0</v>
      </c>
      <c r="H10" s="3">
        <f>+C10-D10-E10-F10</f>
        <v>0</v>
      </c>
    </row>
    <row r="11" spans="1:8" s="3" customFormat="1" ht="12.75" customHeight="1" thickBot="1">
      <c r="A11" s="99" t="s">
        <v>5</v>
      </c>
      <c r="B11" s="80" t="s">
        <v>297</v>
      </c>
      <c r="C11" s="44">
        <f>+C12+C19+C20+C21+C22+C23</f>
        <v>0</v>
      </c>
      <c r="D11" s="33">
        <f>+D12+D19+D20+D21+D22+D23</f>
        <v>0</v>
      </c>
      <c r="E11" s="34">
        <f>+E12+E19+E20+E21+E22+E23</f>
        <v>0</v>
      </c>
      <c r="F11" s="35">
        <f>+F12+F19+F20+F21+F22+F23</f>
        <v>0</v>
      </c>
      <c r="H11" s="3">
        <f t="shared" ref="H11:H74" si="0">+C11-D11-E11-F11</f>
        <v>0</v>
      </c>
    </row>
    <row r="12" spans="1:8" s="3" customFormat="1">
      <c r="A12" s="100" t="s">
        <v>54</v>
      </c>
      <c r="B12" s="81" t="s">
        <v>298</v>
      </c>
      <c r="C12" s="36">
        <f>+C13+C14+C15+C16+C17+C18</f>
        <v>0</v>
      </c>
      <c r="D12" s="19">
        <f>+D13+D14+D15+D16+D17+D18</f>
        <v>0</v>
      </c>
      <c r="E12" s="10">
        <f>+E13+E14+E15+E16+E17+E18</f>
        <v>0</v>
      </c>
      <c r="F12" s="15">
        <f>+F13+F14+F15+F16+F17+F18</f>
        <v>0</v>
      </c>
      <c r="H12" s="4">
        <f t="shared" si="0"/>
        <v>0</v>
      </c>
    </row>
    <row r="13" spans="1:8" s="14" customFormat="1">
      <c r="A13" s="102" t="s">
        <v>189</v>
      </c>
      <c r="B13" s="82" t="s">
        <v>93</v>
      </c>
      <c r="C13" s="24">
        <f>+D13+E13+F13</f>
        <v>0</v>
      </c>
      <c r="D13" s="20"/>
      <c r="E13" s="13"/>
      <c r="F13" s="16"/>
      <c r="H13" s="14">
        <f t="shared" si="0"/>
        <v>0</v>
      </c>
    </row>
    <row r="14" spans="1:8" s="14" customFormat="1">
      <c r="A14" s="102" t="s">
        <v>190</v>
      </c>
      <c r="B14" s="82" t="s">
        <v>94</v>
      </c>
      <c r="C14" s="24">
        <f t="shared" ref="C14:C24" si="1">+D14+E14+F14</f>
        <v>0</v>
      </c>
      <c r="D14" s="20"/>
      <c r="E14" s="13"/>
      <c r="F14" s="16"/>
      <c r="H14" s="14">
        <f t="shared" si="0"/>
        <v>0</v>
      </c>
    </row>
    <row r="15" spans="1:8" s="14" customFormat="1">
      <c r="A15" s="102" t="s">
        <v>191</v>
      </c>
      <c r="B15" s="82" t="s">
        <v>95</v>
      </c>
      <c r="C15" s="24">
        <f t="shared" si="1"/>
        <v>0</v>
      </c>
      <c r="D15" s="20"/>
      <c r="E15" s="13"/>
      <c r="F15" s="16"/>
      <c r="H15" s="14">
        <f t="shared" si="0"/>
        <v>0</v>
      </c>
    </row>
    <row r="16" spans="1:8" s="14" customFormat="1">
      <c r="A16" s="102" t="s">
        <v>192</v>
      </c>
      <c r="B16" s="82" t="s">
        <v>96</v>
      </c>
      <c r="C16" s="24">
        <f t="shared" si="1"/>
        <v>0</v>
      </c>
      <c r="D16" s="20"/>
      <c r="E16" s="13"/>
      <c r="F16" s="16"/>
      <c r="H16" s="14">
        <f t="shared" si="0"/>
        <v>0</v>
      </c>
    </row>
    <row r="17" spans="1:8" s="14" customFormat="1">
      <c r="A17" s="102" t="s">
        <v>193</v>
      </c>
      <c r="B17" s="82" t="s">
        <v>895</v>
      </c>
      <c r="C17" s="24">
        <f t="shared" si="1"/>
        <v>0</v>
      </c>
      <c r="D17" s="20"/>
      <c r="E17" s="13"/>
      <c r="F17" s="16"/>
      <c r="H17" s="14">
        <f t="shared" si="0"/>
        <v>0</v>
      </c>
    </row>
    <row r="18" spans="1:8" s="14" customFormat="1">
      <c r="A18" s="102" t="s">
        <v>194</v>
      </c>
      <c r="B18" s="82" t="s">
        <v>896</v>
      </c>
      <c r="C18" s="24">
        <f t="shared" si="1"/>
        <v>0</v>
      </c>
      <c r="D18" s="20"/>
      <c r="E18" s="13"/>
      <c r="F18" s="16"/>
      <c r="H18" s="14">
        <f t="shared" si="0"/>
        <v>0</v>
      </c>
    </row>
    <row r="19" spans="1:8">
      <c r="A19" s="101" t="s">
        <v>55</v>
      </c>
      <c r="B19" s="83" t="s">
        <v>97</v>
      </c>
      <c r="C19" s="23">
        <f t="shared" si="1"/>
        <v>0</v>
      </c>
      <c r="D19" s="21"/>
      <c r="E19" s="12"/>
      <c r="F19" s="17"/>
      <c r="H19" s="4">
        <f t="shared" si="0"/>
        <v>0</v>
      </c>
    </row>
    <row r="20" spans="1:8">
      <c r="A20" s="101" t="s">
        <v>83</v>
      </c>
      <c r="B20" s="83" t="s">
        <v>98</v>
      </c>
      <c r="C20" s="23">
        <f t="shared" si="1"/>
        <v>0</v>
      </c>
      <c r="D20" s="21"/>
      <c r="E20" s="12"/>
      <c r="F20" s="17"/>
      <c r="H20" s="4">
        <f t="shared" si="0"/>
        <v>0</v>
      </c>
    </row>
    <row r="21" spans="1:8">
      <c r="A21" s="101" t="s">
        <v>84</v>
      </c>
      <c r="B21" s="83" t="s">
        <v>99</v>
      </c>
      <c r="C21" s="23">
        <f t="shared" si="1"/>
        <v>0</v>
      </c>
      <c r="D21" s="21"/>
      <c r="E21" s="12"/>
      <c r="F21" s="17"/>
      <c r="H21" s="4">
        <f t="shared" si="0"/>
        <v>0</v>
      </c>
    </row>
    <row r="22" spans="1:8">
      <c r="A22" s="101" t="s">
        <v>85</v>
      </c>
      <c r="B22" s="83" t="s">
        <v>100</v>
      </c>
      <c r="C22" s="23">
        <f t="shared" si="1"/>
        <v>0</v>
      </c>
      <c r="D22" s="21"/>
      <c r="E22" s="12"/>
      <c r="F22" s="17"/>
      <c r="H22" s="4">
        <f t="shared" si="0"/>
        <v>0</v>
      </c>
    </row>
    <row r="23" spans="1:8">
      <c r="A23" s="94" t="s">
        <v>86</v>
      </c>
      <c r="B23" s="84" t="s">
        <v>101</v>
      </c>
      <c r="C23" s="26">
        <f t="shared" si="1"/>
        <v>0</v>
      </c>
      <c r="D23" s="27"/>
      <c r="E23" s="28"/>
      <c r="F23" s="29"/>
      <c r="H23" s="4">
        <f t="shared" si="0"/>
        <v>0</v>
      </c>
    </row>
    <row r="24" spans="1:8" s="14" customFormat="1" ht="12.75" thickBot="1">
      <c r="A24" s="105" t="s">
        <v>331</v>
      </c>
      <c r="B24" s="894" t="s">
        <v>332</v>
      </c>
      <c r="C24" s="58">
        <f t="shared" si="1"/>
        <v>0</v>
      </c>
      <c r="D24" s="56"/>
      <c r="E24" s="54"/>
      <c r="F24" s="55"/>
      <c r="H24" s="14">
        <f t="shared" si="0"/>
        <v>0</v>
      </c>
    </row>
    <row r="25" spans="1:8" s="3" customFormat="1" ht="12.75" customHeight="1" thickBot="1">
      <c r="A25" s="99" t="s">
        <v>6</v>
      </c>
      <c r="B25" s="80" t="s">
        <v>778</v>
      </c>
      <c r="C25" s="44">
        <f>+C26+C27+C28+C29+C30+C31</f>
        <v>0</v>
      </c>
      <c r="D25" s="33">
        <f>+D26+D27+D28+D29+D30+D31</f>
        <v>0</v>
      </c>
      <c r="E25" s="34">
        <f>+E26+E27+E28+E29+E30+E31</f>
        <v>0</v>
      </c>
      <c r="F25" s="35">
        <f>+F26+F27+F28+F29+F30+F31</f>
        <v>0</v>
      </c>
      <c r="H25" s="3">
        <f t="shared" si="0"/>
        <v>0</v>
      </c>
    </row>
    <row r="26" spans="1:8" ht="12.75" customHeight="1">
      <c r="A26" s="100" t="s">
        <v>58</v>
      </c>
      <c r="B26" s="81" t="s">
        <v>102</v>
      </c>
      <c r="C26" s="36">
        <f t="shared" ref="C26:C31" si="2">+D26+E26+F26</f>
        <v>0</v>
      </c>
      <c r="D26" s="41"/>
      <c r="E26" s="11"/>
      <c r="F26" s="42"/>
      <c r="H26" s="4">
        <f t="shared" si="0"/>
        <v>0</v>
      </c>
    </row>
    <row r="27" spans="1:8" ht="12.75" customHeight="1">
      <c r="A27" s="101" t="s">
        <v>59</v>
      </c>
      <c r="B27" s="83" t="s">
        <v>103</v>
      </c>
      <c r="C27" s="23">
        <f t="shared" si="2"/>
        <v>0</v>
      </c>
      <c r="D27" s="21"/>
      <c r="E27" s="12"/>
      <c r="F27" s="17"/>
      <c r="H27" s="4">
        <f t="shared" si="0"/>
        <v>0</v>
      </c>
    </row>
    <row r="28" spans="1:8" ht="12.75" customHeight="1">
      <c r="A28" s="101" t="s">
        <v>60</v>
      </c>
      <c r="B28" s="83" t="s">
        <v>104</v>
      </c>
      <c r="C28" s="23">
        <f t="shared" si="2"/>
        <v>0</v>
      </c>
      <c r="D28" s="21"/>
      <c r="E28" s="12"/>
      <c r="F28" s="17"/>
      <c r="H28" s="4">
        <f t="shared" si="0"/>
        <v>0</v>
      </c>
    </row>
    <row r="29" spans="1:8" ht="12.75" customHeight="1">
      <c r="A29" s="101" t="s">
        <v>179</v>
      </c>
      <c r="B29" s="83" t="s">
        <v>105</v>
      </c>
      <c r="C29" s="23">
        <f t="shared" si="2"/>
        <v>0</v>
      </c>
      <c r="D29" s="21"/>
      <c r="E29" s="12"/>
      <c r="F29" s="17"/>
      <c r="H29" s="4">
        <f t="shared" si="0"/>
        <v>0</v>
      </c>
    </row>
    <row r="30" spans="1:8" ht="12.75" customHeight="1">
      <c r="A30" s="94" t="s">
        <v>180</v>
      </c>
      <c r="B30" s="84" t="s">
        <v>106</v>
      </c>
      <c r="C30" s="26">
        <f t="shared" si="2"/>
        <v>0</v>
      </c>
      <c r="D30" s="21"/>
      <c r="E30" s="12"/>
      <c r="F30" s="17"/>
      <c r="H30" s="4">
        <f t="shared" si="0"/>
        <v>0</v>
      </c>
    </row>
    <row r="31" spans="1:8" ht="12.75" customHeight="1" thickBot="1">
      <c r="A31" s="94" t="s">
        <v>777</v>
      </c>
      <c r="B31" s="84" t="s">
        <v>779</v>
      </c>
      <c r="C31" s="26">
        <f t="shared" si="2"/>
        <v>0</v>
      </c>
      <c r="D31" s="21"/>
      <c r="E31" s="12"/>
      <c r="F31" s="17"/>
      <c r="H31" s="4">
        <f t="shared" si="0"/>
        <v>0</v>
      </c>
    </row>
    <row r="32" spans="1:8" s="3" customFormat="1" ht="12.75" customHeight="1" thickBot="1">
      <c r="A32" s="99" t="s">
        <v>3</v>
      </c>
      <c r="B32" s="80" t="s">
        <v>968</v>
      </c>
      <c r="C32" s="44">
        <f>+C33+C34+C35+C36+C37+C38+C39+C40+C41+C42+C43</f>
        <v>41459</v>
      </c>
      <c r="D32" s="33">
        <f>+D33+D34+D35+D36+D37+D38+D39+D40+D41+D42+D43</f>
        <v>9308</v>
      </c>
      <c r="E32" s="34">
        <f>+E33+E34+E35+E36+E37+E38+E39+E40+E41+E42+E43</f>
        <v>32151</v>
      </c>
      <c r="F32" s="35">
        <f>+F33+F34+F35+F36+F37+F38+F39+F40+F41+F42+F43</f>
        <v>0</v>
      </c>
      <c r="H32" s="3">
        <f t="shared" si="0"/>
        <v>0</v>
      </c>
    </row>
    <row r="33" spans="1:8" ht="12.75" customHeight="1">
      <c r="A33" s="100" t="s">
        <v>61</v>
      </c>
      <c r="B33" s="81" t="s">
        <v>1585</v>
      </c>
      <c r="C33" s="36">
        <f t="shared" ref="C33:C43" si="3">+D33+E33+F33</f>
        <v>0</v>
      </c>
      <c r="D33" s="41"/>
      <c r="E33" s="11"/>
      <c r="F33" s="42"/>
      <c r="H33" s="4">
        <f t="shared" si="0"/>
        <v>0</v>
      </c>
    </row>
    <row r="34" spans="1:8" ht="12.75" customHeight="1">
      <c r="A34" s="101" t="s">
        <v>62</v>
      </c>
      <c r="B34" s="83" t="s">
        <v>107</v>
      </c>
      <c r="C34" s="23">
        <f t="shared" si="3"/>
        <v>26326</v>
      </c>
      <c r="D34" s="21">
        <v>1000</v>
      </c>
      <c r="E34" s="12">
        <v>25326</v>
      </c>
      <c r="F34" s="17"/>
      <c r="H34" s="4">
        <f t="shared" si="0"/>
        <v>0</v>
      </c>
    </row>
    <row r="35" spans="1:8" ht="12.75" customHeight="1">
      <c r="A35" s="101" t="s">
        <v>63</v>
      </c>
      <c r="B35" s="83" t="s">
        <v>108</v>
      </c>
      <c r="C35" s="23">
        <f t="shared" si="3"/>
        <v>6541</v>
      </c>
      <c r="D35" s="21">
        <v>6541</v>
      </c>
      <c r="E35" s="12"/>
      <c r="F35" s="17"/>
      <c r="H35" s="4">
        <f t="shared" si="0"/>
        <v>0</v>
      </c>
    </row>
    <row r="36" spans="1:8" ht="12.75" customHeight="1">
      <c r="A36" s="101" t="s">
        <v>64</v>
      </c>
      <c r="B36" s="83" t="s">
        <v>109</v>
      </c>
      <c r="C36" s="23">
        <f t="shared" si="3"/>
        <v>0</v>
      </c>
      <c r="D36" s="21"/>
      <c r="E36" s="12"/>
      <c r="F36" s="17"/>
      <c r="H36" s="4">
        <f t="shared" si="0"/>
        <v>0</v>
      </c>
    </row>
    <row r="37" spans="1:8" ht="12.75" customHeight="1">
      <c r="A37" s="101" t="s">
        <v>65</v>
      </c>
      <c r="B37" s="83" t="s">
        <v>110</v>
      </c>
      <c r="C37" s="23">
        <f t="shared" si="3"/>
        <v>0</v>
      </c>
      <c r="D37" s="21"/>
      <c r="E37" s="12"/>
      <c r="F37" s="17"/>
      <c r="H37" s="4">
        <f t="shared" si="0"/>
        <v>0</v>
      </c>
    </row>
    <row r="38" spans="1:8" ht="12.75" customHeight="1">
      <c r="A38" s="101" t="s">
        <v>221</v>
      </c>
      <c r="B38" s="83" t="s">
        <v>111</v>
      </c>
      <c r="C38" s="23">
        <f t="shared" si="3"/>
        <v>8592</v>
      </c>
      <c r="D38" s="21">
        <v>1767</v>
      </c>
      <c r="E38" s="12">
        <v>6825</v>
      </c>
      <c r="F38" s="17"/>
      <c r="H38" s="4">
        <f t="shared" si="0"/>
        <v>0</v>
      </c>
    </row>
    <row r="39" spans="1:8" ht="12.75" customHeight="1">
      <c r="A39" s="101" t="s">
        <v>222</v>
      </c>
      <c r="B39" s="83" t="s">
        <v>112</v>
      </c>
      <c r="C39" s="23">
        <f t="shared" si="3"/>
        <v>0</v>
      </c>
      <c r="D39" s="21"/>
      <c r="E39" s="12"/>
      <c r="F39" s="17"/>
      <c r="H39" s="4">
        <f t="shared" si="0"/>
        <v>0</v>
      </c>
    </row>
    <row r="40" spans="1:8" ht="12.75" customHeight="1">
      <c r="A40" s="101" t="s">
        <v>223</v>
      </c>
      <c r="B40" s="83" t="s">
        <v>978</v>
      </c>
      <c r="C40" s="23">
        <f t="shared" si="3"/>
        <v>0</v>
      </c>
      <c r="D40" s="21"/>
      <c r="E40" s="12"/>
      <c r="F40" s="17"/>
      <c r="H40" s="4">
        <f t="shared" si="0"/>
        <v>0</v>
      </c>
    </row>
    <row r="41" spans="1:8" ht="12.75" customHeight="1">
      <c r="A41" s="101" t="s">
        <v>224</v>
      </c>
      <c r="B41" s="83" t="s">
        <v>113</v>
      </c>
      <c r="C41" s="23">
        <f t="shared" si="3"/>
        <v>0</v>
      </c>
      <c r="D41" s="21"/>
      <c r="E41" s="12"/>
      <c r="F41" s="17"/>
      <c r="H41" s="4">
        <f t="shared" si="0"/>
        <v>0</v>
      </c>
    </row>
    <row r="42" spans="1:8" ht="12.75" customHeight="1">
      <c r="A42" s="94" t="s">
        <v>225</v>
      </c>
      <c r="B42" s="84" t="s">
        <v>898</v>
      </c>
      <c r="C42" s="23">
        <f>+D42+E42+F42</f>
        <v>0</v>
      </c>
      <c r="D42" s="21"/>
      <c r="E42" s="12"/>
      <c r="F42" s="17"/>
      <c r="H42" s="4">
        <f t="shared" si="0"/>
        <v>0</v>
      </c>
    </row>
    <row r="43" spans="1:8" ht="12.75" customHeight="1" thickBot="1">
      <c r="A43" s="94" t="s">
        <v>897</v>
      </c>
      <c r="B43" s="84" t="s">
        <v>899</v>
      </c>
      <c r="C43" s="26">
        <f t="shared" si="3"/>
        <v>0</v>
      </c>
      <c r="D43" s="27"/>
      <c r="E43" s="28"/>
      <c r="F43" s="29"/>
      <c r="H43" s="4">
        <f t="shared" si="0"/>
        <v>0</v>
      </c>
    </row>
    <row r="44" spans="1:8" s="3" customFormat="1" ht="12.75" thickBot="1">
      <c r="A44" s="99" t="s">
        <v>16</v>
      </c>
      <c r="B44" s="80" t="s">
        <v>969</v>
      </c>
      <c r="C44" s="44">
        <f>+C45+C46+C47+C48+C49</f>
        <v>0</v>
      </c>
      <c r="D44" s="33">
        <f>+D45+D46+D47+D48+D49</f>
        <v>0</v>
      </c>
      <c r="E44" s="34">
        <f>+E45+E46+E47+E48+E49</f>
        <v>0</v>
      </c>
      <c r="F44" s="35">
        <f>+F45+F46+F47+F48+F49</f>
        <v>0</v>
      </c>
      <c r="H44" s="3">
        <f t="shared" si="0"/>
        <v>0</v>
      </c>
    </row>
    <row r="45" spans="1:8" ht="12.75" customHeight="1">
      <c r="A45" s="100" t="s">
        <v>226</v>
      </c>
      <c r="B45" s="81" t="s">
        <v>114</v>
      </c>
      <c r="C45" s="36">
        <f>+D45+E45+F45</f>
        <v>0</v>
      </c>
      <c r="D45" s="41"/>
      <c r="E45" s="11"/>
      <c r="F45" s="42"/>
      <c r="H45" s="4">
        <f t="shared" si="0"/>
        <v>0</v>
      </c>
    </row>
    <row r="46" spans="1:8" ht="12.75" customHeight="1">
      <c r="A46" s="100" t="s">
        <v>227</v>
      </c>
      <c r="B46" s="81" t="s">
        <v>900</v>
      </c>
      <c r="C46" s="36">
        <f>+D46+E46+F46</f>
        <v>0</v>
      </c>
      <c r="D46" s="41"/>
      <c r="E46" s="11"/>
      <c r="F46" s="42"/>
      <c r="H46" s="4">
        <f t="shared" si="0"/>
        <v>0</v>
      </c>
    </row>
    <row r="47" spans="1:8" ht="12.75" customHeight="1">
      <c r="A47" s="100" t="s">
        <v>228</v>
      </c>
      <c r="B47" s="81" t="s">
        <v>901</v>
      </c>
      <c r="C47" s="36">
        <f>+D47+E47+F47</f>
        <v>0</v>
      </c>
      <c r="D47" s="41"/>
      <c r="E47" s="11"/>
      <c r="F47" s="42"/>
      <c r="H47" s="4">
        <f t="shared" si="0"/>
        <v>0</v>
      </c>
    </row>
    <row r="48" spans="1:8" ht="12.75" customHeight="1">
      <c r="A48" s="101" t="s">
        <v>256</v>
      </c>
      <c r="B48" s="83" t="s">
        <v>902</v>
      </c>
      <c r="C48" s="23">
        <f>+D48+E48+F48</f>
        <v>0</v>
      </c>
      <c r="D48" s="21"/>
      <c r="E48" s="12"/>
      <c r="F48" s="17"/>
      <c r="H48" s="4">
        <f t="shared" si="0"/>
        <v>0</v>
      </c>
    </row>
    <row r="49" spans="1:8" ht="12.75" customHeight="1" thickBot="1">
      <c r="A49" s="94" t="s">
        <v>257</v>
      </c>
      <c r="B49" s="84" t="s">
        <v>903</v>
      </c>
      <c r="C49" s="26">
        <f>+D49+E49+F49</f>
        <v>0</v>
      </c>
      <c r="D49" s="27"/>
      <c r="E49" s="28"/>
      <c r="F49" s="29"/>
      <c r="H49" s="4">
        <f t="shared" si="0"/>
        <v>0</v>
      </c>
    </row>
    <row r="50" spans="1:8" s="3" customFormat="1" ht="12.75" thickBot="1">
      <c r="A50" s="99" t="s">
        <v>15</v>
      </c>
      <c r="B50" s="85" t="s">
        <v>299</v>
      </c>
      <c r="C50" s="44">
        <f>+C51+C58+C64</f>
        <v>0</v>
      </c>
      <c r="D50" s="33">
        <f>+D51+D58+D64</f>
        <v>0</v>
      </c>
      <c r="E50" s="34">
        <f>+E51+E58+E64</f>
        <v>0</v>
      </c>
      <c r="F50" s="35">
        <f>+F51+F58+F64</f>
        <v>0</v>
      </c>
      <c r="H50" s="3">
        <f t="shared" si="0"/>
        <v>0</v>
      </c>
    </row>
    <row r="51" spans="1:8" s="3" customFormat="1" ht="12.75" customHeight="1" thickBot="1">
      <c r="A51" s="99" t="s">
        <v>14</v>
      </c>
      <c r="B51" s="80" t="s">
        <v>300</v>
      </c>
      <c r="C51" s="44">
        <f>+C52+C53+C54+C55+C56</f>
        <v>0</v>
      </c>
      <c r="D51" s="33">
        <f>+D52+D53+D54+D55+D56</f>
        <v>0</v>
      </c>
      <c r="E51" s="34">
        <f>+E52+E53+E54+E55+E56</f>
        <v>0</v>
      </c>
      <c r="F51" s="35">
        <f>+F52+F53+F54+F55+F56</f>
        <v>0</v>
      </c>
      <c r="H51" s="3">
        <f t="shared" si="0"/>
        <v>0</v>
      </c>
    </row>
    <row r="52" spans="1:8">
      <c r="A52" s="100" t="s">
        <v>184</v>
      </c>
      <c r="B52" s="135" t="s">
        <v>115</v>
      </c>
      <c r="C52" s="36">
        <f t="shared" ref="C52:C57" si="4">+D52+E52+F52</f>
        <v>0</v>
      </c>
      <c r="D52" s="41"/>
      <c r="E52" s="11"/>
      <c r="F52" s="42"/>
      <c r="H52" s="4">
        <f t="shared" si="0"/>
        <v>0</v>
      </c>
    </row>
    <row r="53" spans="1:8">
      <c r="A53" s="101" t="s">
        <v>185</v>
      </c>
      <c r="B53" s="83" t="s">
        <v>116</v>
      </c>
      <c r="C53" s="23">
        <f t="shared" si="4"/>
        <v>0</v>
      </c>
      <c r="D53" s="21"/>
      <c r="E53" s="12"/>
      <c r="F53" s="17"/>
      <c r="H53" s="4">
        <f t="shared" si="0"/>
        <v>0</v>
      </c>
    </row>
    <row r="54" spans="1:8">
      <c r="A54" s="101" t="s">
        <v>186</v>
      </c>
      <c r="B54" s="83" t="s">
        <v>117</v>
      </c>
      <c r="C54" s="23">
        <f t="shared" si="4"/>
        <v>0</v>
      </c>
      <c r="D54" s="21"/>
      <c r="E54" s="12"/>
      <c r="F54" s="17"/>
      <c r="H54" s="4">
        <f t="shared" si="0"/>
        <v>0</v>
      </c>
    </row>
    <row r="55" spans="1:8">
      <c r="A55" s="101" t="s">
        <v>187</v>
      </c>
      <c r="B55" s="83" t="s">
        <v>118</v>
      </c>
      <c r="C55" s="23">
        <f t="shared" si="4"/>
        <v>0</v>
      </c>
      <c r="D55" s="21"/>
      <c r="E55" s="12"/>
      <c r="F55" s="17"/>
      <c r="H55" s="4">
        <f t="shared" si="0"/>
        <v>0</v>
      </c>
    </row>
    <row r="56" spans="1:8">
      <c r="A56" s="94" t="s">
        <v>188</v>
      </c>
      <c r="B56" s="84" t="s">
        <v>119</v>
      </c>
      <c r="C56" s="26">
        <f t="shared" si="4"/>
        <v>0</v>
      </c>
      <c r="D56" s="27"/>
      <c r="E56" s="28"/>
      <c r="F56" s="29"/>
      <c r="H56" s="4">
        <f t="shared" si="0"/>
        <v>0</v>
      </c>
    </row>
    <row r="57" spans="1:8" s="14" customFormat="1" ht="12.75" thickBot="1">
      <c r="A57" s="105" t="s">
        <v>333</v>
      </c>
      <c r="B57" s="894" t="s">
        <v>337</v>
      </c>
      <c r="C57" s="58">
        <f t="shared" si="4"/>
        <v>0</v>
      </c>
      <c r="D57" s="56"/>
      <c r="E57" s="54"/>
      <c r="F57" s="55"/>
      <c r="H57" s="14">
        <f t="shared" si="0"/>
        <v>0</v>
      </c>
    </row>
    <row r="58" spans="1:8" s="3" customFormat="1" ht="12.75" customHeight="1" thickBot="1">
      <c r="A58" s="99" t="s">
        <v>13</v>
      </c>
      <c r="B58" s="80" t="s">
        <v>301</v>
      </c>
      <c r="C58" s="44">
        <f>+C59+C60+C61+C62+C63</f>
        <v>0</v>
      </c>
      <c r="D58" s="33">
        <f>+D59+D60+D61+D62+D63</f>
        <v>0</v>
      </c>
      <c r="E58" s="34">
        <f>+E59+E60+E61+E62+E63</f>
        <v>0</v>
      </c>
      <c r="F58" s="35">
        <f>+F59+F60+F61+F62+F63</f>
        <v>0</v>
      </c>
      <c r="H58" s="3">
        <f t="shared" si="0"/>
        <v>0</v>
      </c>
    </row>
    <row r="59" spans="1:8" ht="12.75" customHeight="1">
      <c r="A59" s="100" t="s">
        <v>66</v>
      </c>
      <c r="B59" s="81" t="s">
        <v>120</v>
      </c>
      <c r="C59" s="36">
        <f>+D59+E59+F59</f>
        <v>0</v>
      </c>
      <c r="D59" s="41"/>
      <c r="E59" s="11"/>
      <c r="F59" s="42"/>
      <c r="H59" s="4">
        <f t="shared" si="0"/>
        <v>0</v>
      </c>
    </row>
    <row r="60" spans="1:8" ht="12.75" customHeight="1">
      <c r="A60" s="101" t="s">
        <v>67</v>
      </c>
      <c r="B60" s="83" t="s">
        <v>121</v>
      </c>
      <c r="C60" s="23">
        <f>+D60+E60+F60</f>
        <v>0</v>
      </c>
      <c r="D60" s="21"/>
      <c r="E60" s="12"/>
      <c r="F60" s="17"/>
      <c r="H60" s="4">
        <f t="shared" si="0"/>
        <v>0</v>
      </c>
    </row>
    <row r="61" spans="1:8" ht="12.75" customHeight="1">
      <c r="A61" s="101" t="s">
        <v>68</v>
      </c>
      <c r="B61" s="83" t="s">
        <v>122</v>
      </c>
      <c r="C61" s="23">
        <f>+D61+E61+F61</f>
        <v>0</v>
      </c>
      <c r="D61" s="21"/>
      <c r="E61" s="12"/>
      <c r="F61" s="17"/>
      <c r="H61" s="4">
        <f t="shared" si="0"/>
        <v>0</v>
      </c>
    </row>
    <row r="62" spans="1:8" ht="12.75" customHeight="1">
      <c r="A62" s="101" t="s">
        <v>229</v>
      </c>
      <c r="B62" s="83" t="s">
        <v>123</v>
      </c>
      <c r="C62" s="23">
        <f>+D62+E62+F62</f>
        <v>0</v>
      </c>
      <c r="D62" s="21"/>
      <c r="E62" s="12"/>
      <c r="F62" s="17"/>
      <c r="H62" s="4">
        <f t="shared" si="0"/>
        <v>0</v>
      </c>
    </row>
    <row r="63" spans="1:8" ht="12.75" customHeight="1" thickBot="1">
      <c r="A63" s="94" t="s">
        <v>230</v>
      </c>
      <c r="B63" s="84" t="s">
        <v>124</v>
      </c>
      <c r="C63" s="26">
        <f>+D63+E63+F63</f>
        <v>0</v>
      </c>
      <c r="D63" s="27"/>
      <c r="E63" s="28"/>
      <c r="F63" s="29"/>
      <c r="H63" s="4">
        <f t="shared" si="0"/>
        <v>0</v>
      </c>
    </row>
    <row r="64" spans="1:8" s="3" customFormat="1" ht="12.75" thickBot="1">
      <c r="A64" s="99" t="s">
        <v>12</v>
      </c>
      <c r="B64" s="80" t="s">
        <v>907</v>
      </c>
      <c r="C64" s="44">
        <f>+C65+C66+C67+C68+C69</f>
        <v>0</v>
      </c>
      <c r="D64" s="33">
        <f>+D65+D66+D67+D68+D69</f>
        <v>0</v>
      </c>
      <c r="E64" s="34">
        <f>+E65+E66+E67+E68+E69</f>
        <v>0</v>
      </c>
      <c r="F64" s="35">
        <f>+F65+F66+F67+F68+F69</f>
        <v>0</v>
      </c>
      <c r="H64" s="3">
        <f t="shared" si="0"/>
        <v>0</v>
      </c>
    </row>
    <row r="65" spans="1:8">
      <c r="A65" s="100" t="s">
        <v>69</v>
      </c>
      <c r="B65" s="81" t="s">
        <v>125</v>
      </c>
      <c r="C65" s="36">
        <f>+D65+E65+F65</f>
        <v>0</v>
      </c>
      <c r="D65" s="41"/>
      <c r="E65" s="11"/>
      <c r="F65" s="42"/>
      <c r="H65" s="4">
        <f t="shared" si="0"/>
        <v>0</v>
      </c>
    </row>
    <row r="66" spans="1:8">
      <c r="A66" s="100" t="s">
        <v>70</v>
      </c>
      <c r="B66" s="81" t="s">
        <v>908</v>
      </c>
      <c r="C66" s="36">
        <f>+D66+E66+F66</f>
        <v>0</v>
      </c>
      <c r="D66" s="41"/>
      <c r="E66" s="11"/>
      <c r="F66" s="42"/>
      <c r="H66" s="4">
        <f t="shared" si="0"/>
        <v>0</v>
      </c>
    </row>
    <row r="67" spans="1:8">
      <c r="A67" s="100" t="s">
        <v>71</v>
      </c>
      <c r="B67" s="81" t="s">
        <v>909</v>
      </c>
      <c r="C67" s="36">
        <f>+D67+E67+F67</f>
        <v>0</v>
      </c>
      <c r="D67" s="41"/>
      <c r="E67" s="11"/>
      <c r="F67" s="42"/>
      <c r="H67" s="4">
        <f t="shared" si="0"/>
        <v>0</v>
      </c>
    </row>
    <row r="68" spans="1:8">
      <c r="A68" s="101" t="s">
        <v>72</v>
      </c>
      <c r="B68" s="83" t="s">
        <v>905</v>
      </c>
      <c r="C68" s="23">
        <f>+D68+E68+F68</f>
        <v>0</v>
      </c>
      <c r="D68" s="21"/>
      <c r="E68" s="12"/>
      <c r="F68" s="17"/>
      <c r="H68" s="4">
        <f t="shared" si="0"/>
        <v>0</v>
      </c>
    </row>
    <row r="69" spans="1:8" ht="12.75" thickBot="1">
      <c r="A69" s="94" t="s">
        <v>904</v>
      </c>
      <c r="B69" s="84" t="s">
        <v>906</v>
      </c>
      <c r="C69" s="26">
        <f>+D69+E69+F69</f>
        <v>0</v>
      </c>
      <c r="D69" s="27"/>
      <c r="E69" s="28"/>
      <c r="F69" s="29"/>
      <c r="H69" s="4">
        <f t="shared" si="0"/>
        <v>0</v>
      </c>
    </row>
    <row r="70" spans="1:8" s="3" customFormat="1" ht="12.75" thickBot="1">
      <c r="A70" s="99" t="s">
        <v>11</v>
      </c>
      <c r="B70" s="85" t="s">
        <v>302</v>
      </c>
      <c r="C70" s="44">
        <f>+C10+C50</f>
        <v>41459</v>
      </c>
      <c r="D70" s="33">
        <f>+D10+D50</f>
        <v>9308</v>
      </c>
      <c r="E70" s="34">
        <f>+E10+E50</f>
        <v>32151</v>
      </c>
      <c r="F70" s="35">
        <f>+F10+F50</f>
        <v>0</v>
      </c>
      <c r="H70" s="3">
        <f t="shared" si="0"/>
        <v>0</v>
      </c>
    </row>
    <row r="71" spans="1:8" s="3" customFormat="1" ht="12.75" thickBot="1">
      <c r="A71" s="99" t="s">
        <v>10</v>
      </c>
      <c r="B71" s="86" t="s">
        <v>303</v>
      </c>
      <c r="C71" s="44">
        <f>+C72</f>
        <v>360861</v>
      </c>
      <c r="D71" s="33">
        <f>+D72</f>
        <v>352764</v>
      </c>
      <c r="E71" s="34">
        <f>+E72</f>
        <v>8097</v>
      </c>
      <c r="F71" s="35">
        <f>+F72</f>
        <v>0</v>
      </c>
      <c r="H71" s="3">
        <f t="shared" si="0"/>
        <v>0</v>
      </c>
    </row>
    <row r="72" spans="1:8" s="3" customFormat="1" ht="12.75" thickBot="1">
      <c r="A72" s="99" t="s">
        <v>9</v>
      </c>
      <c r="B72" s="80" t="s">
        <v>916</v>
      </c>
      <c r="C72" s="44">
        <f>+C73+C83+C84+C85</f>
        <v>360861</v>
      </c>
      <c r="D72" s="33">
        <f>+D73+D83+D84+D85</f>
        <v>352764</v>
      </c>
      <c r="E72" s="34">
        <f>+E73+E83+E84+E85</f>
        <v>8097</v>
      </c>
      <c r="F72" s="35">
        <f>+F73+F83+F84+F85</f>
        <v>0</v>
      </c>
      <c r="H72" s="3">
        <f t="shared" si="0"/>
        <v>0</v>
      </c>
    </row>
    <row r="73" spans="1:8">
      <c r="A73" s="100" t="s">
        <v>73</v>
      </c>
      <c r="B73" s="81" t="s">
        <v>911</v>
      </c>
      <c r="C73" s="36">
        <f>+C74+C75+C76+C77+C78+C79+C80+C81+C82</f>
        <v>360861</v>
      </c>
      <c r="D73" s="41">
        <f>+D74+D75+D76+D77+D78+D79+D80+D81+D82</f>
        <v>352764</v>
      </c>
      <c r="E73" s="11">
        <f>+E74+E75+E76+E77+E78+E79+E80+E81+E82</f>
        <v>8097</v>
      </c>
      <c r="F73" s="42">
        <f>+F74+F75+F76+F77+F78+F79+F80+F81+F82</f>
        <v>0</v>
      </c>
      <c r="H73" s="4">
        <f t="shared" si="0"/>
        <v>0</v>
      </c>
    </row>
    <row r="74" spans="1:8" s="14" customFormat="1">
      <c r="A74" s="102" t="s">
        <v>195</v>
      </c>
      <c r="B74" s="82" t="s">
        <v>910</v>
      </c>
      <c r="C74" s="24">
        <f t="shared" ref="C74:C84" si="5">+D74+E74+F74</f>
        <v>0</v>
      </c>
      <c r="D74" s="20"/>
      <c r="E74" s="13"/>
      <c r="F74" s="16"/>
      <c r="H74" s="14">
        <f t="shared" si="0"/>
        <v>0</v>
      </c>
    </row>
    <row r="75" spans="1:8" s="14" customFormat="1">
      <c r="A75" s="102" t="s">
        <v>196</v>
      </c>
      <c r="B75" s="82" t="s">
        <v>246</v>
      </c>
      <c r="C75" s="24">
        <f t="shared" si="5"/>
        <v>0</v>
      </c>
      <c r="D75" s="20"/>
      <c r="E75" s="13"/>
      <c r="F75" s="16"/>
      <c r="H75" s="14">
        <f t="shared" ref="H75:H138" si="6">+C75-D75-E75-F75</f>
        <v>0</v>
      </c>
    </row>
    <row r="76" spans="1:8" s="14" customFormat="1">
      <c r="A76" s="102" t="s">
        <v>197</v>
      </c>
      <c r="B76" s="82" t="s">
        <v>247</v>
      </c>
      <c r="C76" s="24">
        <f t="shared" si="5"/>
        <v>0</v>
      </c>
      <c r="D76" s="20"/>
      <c r="E76" s="13"/>
      <c r="F76" s="16"/>
      <c r="H76" s="14">
        <f t="shared" si="6"/>
        <v>0</v>
      </c>
    </row>
    <row r="77" spans="1:8" s="14" customFormat="1">
      <c r="A77" s="102" t="s">
        <v>198</v>
      </c>
      <c r="B77" s="82" t="s">
        <v>248</v>
      </c>
      <c r="C77" s="24">
        <f t="shared" si="5"/>
        <v>0</v>
      </c>
      <c r="D77" s="20"/>
      <c r="E77" s="13"/>
      <c r="F77" s="16"/>
      <c r="H77" s="14">
        <f t="shared" si="6"/>
        <v>0</v>
      </c>
    </row>
    <row r="78" spans="1:8" s="14" customFormat="1">
      <c r="A78" s="102" t="s">
        <v>199</v>
      </c>
      <c r="B78" s="82" t="s">
        <v>249</v>
      </c>
      <c r="C78" s="24">
        <f t="shared" si="5"/>
        <v>0</v>
      </c>
      <c r="D78" s="20"/>
      <c r="E78" s="13"/>
      <c r="F78" s="16"/>
      <c r="H78" s="14">
        <f t="shared" si="6"/>
        <v>0</v>
      </c>
    </row>
    <row r="79" spans="1:8" s="14" customFormat="1">
      <c r="A79" s="127" t="s">
        <v>200</v>
      </c>
      <c r="B79" s="128" t="s">
        <v>250</v>
      </c>
      <c r="C79" s="24">
        <f t="shared" si="5"/>
        <v>360861</v>
      </c>
      <c r="D79" s="20">
        <f>+D109-D10+D178-D74-D75-D76-D77-D78-D80-D81-D83-D84-D85</f>
        <v>352764</v>
      </c>
      <c r="E79" s="13">
        <f>+E109-E10+E178-E74-E75-E76-E77-E78-E80-E81-E83-E84-E85</f>
        <v>8097</v>
      </c>
      <c r="F79" s="16">
        <f>+F109-F10+F178-F74-F75-F76-F77-F78-F80-F81-F83-F84-F85</f>
        <v>0</v>
      </c>
      <c r="H79" s="140">
        <f t="shared" si="6"/>
        <v>0</v>
      </c>
    </row>
    <row r="80" spans="1:8" s="14" customFormat="1">
      <c r="A80" s="102" t="s">
        <v>203</v>
      </c>
      <c r="B80" s="82" t="s">
        <v>251</v>
      </c>
      <c r="C80" s="24">
        <f t="shared" si="5"/>
        <v>0</v>
      </c>
      <c r="D80" s="20"/>
      <c r="E80" s="13"/>
      <c r="F80" s="16"/>
      <c r="H80" s="140">
        <f t="shared" si="6"/>
        <v>0</v>
      </c>
    </row>
    <row r="81" spans="1:8" s="14" customFormat="1">
      <c r="A81" s="102" t="s">
        <v>201</v>
      </c>
      <c r="B81" s="82" t="s">
        <v>244</v>
      </c>
      <c r="C81" s="24">
        <f t="shared" si="5"/>
        <v>0</v>
      </c>
      <c r="D81" s="20"/>
      <c r="E81" s="13"/>
      <c r="F81" s="16"/>
      <c r="H81" s="140">
        <f t="shared" si="6"/>
        <v>0</v>
      </c>
    </row>
    <row r="82" spans="1:8" s="14" customFormat="1">
      <c r="A82" s="102" t="s">
        <v>912</v>
      </c>
      <c r="B82" s="82" t="s">
        <v>913</v>
      </c>
      <c r="C82" s="24">
        <f>+D82+E82+F82</f>
        <v>0</v>
      </c>
      <c r="D82" s="20"/>
      <c r="E82" s="13"/>
      <c r="F82" s="16"/>
      <c r="H82" s="140">
        <f t="shared" si="6"/>
        <v>0</v>
      </c>
    </row>
    <row r="83" spans="1:8">
      <c r="A83" s="101" t="s">
        <v>74</v>
      </c>
      <c r="B83" s="83" t="s">
        <v>242</v>
      </c>
      <c r="C83" s="23">
        <f t="shared" si="5"/>
        <v>0</v>
      </c>
      <c r="D83" s="21"/>
      <c r="E83" s="12"/>
      <c r="F83" s="17"/>
      <c r="H83" s="141">
        <f t="shared" si="6"/>
        <v>0</v>
      </c>
    </row>
    <row r="84" spans="1:8">
      <c r="A84" s="94" t="s">
        <v>202</v>
      </c>
      <c r="B84" s="84" t="s">
        <v>243</v>
      </c>
      <c r="C84" s="26">
        <f t="shared" si="5"/>
        <v>0</v>
      </c>
      <c r="D84" s="27"/>
      <c r="E84" s="28"/>
      <c r="F84" s="29"/>
      <c r="H84" s="141">
        <f t="shared" si="6"/>
        <v>0</v>
      </c>
    </row>
    <row r="85" spans="1:8" ht="12.75" thickBot="1">
      <c r="A85" s="94" t="s">
        <v>914</v>
      </c>
      <c r="B85" s="84" t="s">
        <v>915</v>
      </c>
      <c r="C85" s="26">
        <f>+D85+E85+F85</f>
        <v>0</v>
      </c>
      <c r="D85" s="27"/>
      <c r="E85" s="28"/>
      <c r="F85" s="29"/>
      <c r="H85" s="141">
        <f t="shared" si="6"/>
        <v>0</v>
      </c>
    </row>
    <row r="86" spans="1:8" s="3" customFormat="1" ht="12.75" thickBot="1">
      <c r="A86" s="99" t="s">
        <v>45</v>
      </c>
      <c r="B86" s="86" t="s">
        <v>304</v>
      </c>
      <c r="C86" s="44">
        <f>+C87</f>
        <v>4000</v>
      </c>
      <c r="D86" s="33">
        <f>+D87</f>
        <v>4000</v>
      </c>
      <c r="E86" s="34">
        <f>+E87</f>
        <v>0</v>
      </c>
      <c r="F86" s="35">
        <f>+F87</f>
        <v>0</v>
      </c>
      <c r="H86" s="143">
        <f t="shared" si="6"/>
        <v>0</v>
      </c>
    </row>
    <row r="87" spans="1:8" s="3" customFormat="1" ht="12.75" thickBot="1">
      <c r="A87" s="99" t="s">
        <v>44</v>
      </c>
      <c r="B87" s="80" t="s">
        <v>918</v>
      </c>
      <c r="C87" s="44">
        <f>+C88+C98+C99+C100</f>
        <v>4000</v>
      </c>
      <c r="D87" s="33">
        <f>+D88+D98+D99+D100</f>
        <v>4000</v>
      </c>
      <c r="E87" s="34">
        <f>+E88+E98+E99+E100</f>
        <v>0</v>
      </c>
      <c r="F87" s="35">
        <f>+F88+F98+F99+F100</f>
        <v>0</v>
      </c>
      <c r="H87" s="143">
        <f t="shared" si="6"/>
        <v>0</v>
      </c>
    </row>
    <row r="88" spans="1:8">
      <c r="A88" s="100" t="s">
        <v>231</v>
      </c>
      <c r="B88" s="81" t="s">
        <v>970</v>
      </c>
      <c r="C88" s="36">
        <f>+C89+C90+C91+C92+C93+C94+C95+C96+C97</f>
        <v>4000</v>
      </c>
      <c r="D88" s="41">
        <f>+D89+D90+D91+D92+D93+D94+D95+D96+D97</f>
        <v>4000</v>
      </c>
      <c r="E88" s="11">
        <f>+E89+E90+E91+E92+E93+E94+E95+E96+E97</f>
        <v>0</v>
      </c>
      <c r="F88" s="42">
        <f>+F89+F90+F91+F92+F93+F94+F95+F96+F97</f>
        <v>0</v>
      </c>
      <c r="H88" s="141">
        <f t="shared" si="6"/>
        <v>0</v>
      </c>
    </row>
    <row r="89" spans="1:8" s="14" customFormat="1">
      <c r="A89" s="102" t="s">
        <v>232</v>
      </c>
      <c r="B89" s="82" t="s">
        <v>910</v>
      </c>
      <c r="C89" s="24">
        <f t="shared" ref="C89:C99" si="7">+D89+E89+F89</f>
        <v>0</v>
      </c>
      <c r="D89" s="20"/>
      <c r="E89" s="13"/>
      <c r="F89" s="16"/>
      <c r="H89" s="140">
        <f t="shared" si="6"/>
        <v>0</v>
      </c>
    </row>
    <row r="90" spans="1:8" s="14" customFormat="1">
      <c r="A90" s="102" t="s">
        <v>233</v>
      </c>
      <c r="B90" s="82" t="s">
        <v>246</v>
      </c>
      <c r="C90" s="24">
        <f t="shared" si="7"/>
        <v>0</v>
      </c>
      <c r="D90" s="20"/>
      <c r="E90" s="13"/>
      <c r="F90" s="16"/>
      <c r="H90" s="140">
        <f t="shared" si="6"/>
        <v>0</v>
      </c>
    </row>
    <row r="91" spans="1:8" s="14" customFormat="1">
      <c r="A91" s="102" t="s">
        <v>234</v>
      </c>
      <c r="B91" s="82" t="s">
        <v>247</v>
      </c>
      <c r="C91" s="24">
        <f t="shared" si="7"/>
        <v>0</v>
      </c>
      <c r="D91" s="20"/>
      <c r="E91" s="13"/>
      <c r="F91" s="16"/>
      <c r="H91" s="140">
        <f t="shared" si="6"/>
        <v>0</v>
      </c>
    </row>
    <row r="92" spans="1:8" s="14" customFormat="1">
      <c r="A92" s="102" t="s">
        <v>235</v>
      </c>
      <c r="B92" s="82" t="s">
        <v>248</v>
      </c>
      <c r="C92" s="24">
        <f t="shared" si="7"/>
        <v>0</v>
      </c>
      <c r="D92" s="20"/>
      <c r="E92" s="13"/>
      <c r="F92" s="16"/>
      <c r="H92" s="140">
        <f t="shared" si="6"/>
        <v>0</v>
      </c>
    </row>
    <row r="93" spans="1:8" s="14" customFormat="1">
      <c r="A93" s="102" t="s">
        <v>236</v>
      </c>
      <c r="B93" s="82" t="s">
        <v>249</v>
      </c>
      <c r="C93" s="24">
        <f t="shared" si="7"/>
        <v>0</v>
      </c>
      <c r="D93" s="20"/>
      <c r="E93" s="13"/>
      <c r="F93" s="16"/>
      <c r="H93" s="140">
        <f t="shared" si="6"/>
        <v>0</v>
      </c>
    </row>
    <row r="94" spans="1:8" s="14" customFormat="1">
      <c r="A94" s="127" t="s">
        <v>237</v>
      </c>
      <c r="B94" s="128" t="s">
        <v>250</v>
      </c>
      <c r="C94" s="24">
        <f t="shared" si="7"/>
        <v>4000</v>
      </c>
      <c r="D94" s="20">
        <f>+D149-D50+D192-D89-D90-D91-D92-D93-D95-D96-D98-D99-D100</f>
        <v>4000</v>
      </c>
      <c r="E94" s="13">
        <f>+E149-E50+E192-E89-E90-E91-E92-E93-E95-E96-E98-E99-E100</f>
        <v>0</v>
      </c>
      <c r="F94" s="16">
        <f>+F149-F50+F192-F89-F90-F91-F92-F93-F95-F96-F98-F99-F100</f>
        <v>0</v>
      </c>
      <c r="H94" s="140">
        <f t="shared" si="6"/>
        <v>0</v>
      </c>
    </row>
    <row r="95" spans="1:8" s="14" customFormat="1">
      <c r="A95" s="102" t="s">
        <v>238</v>
      </c>
      <c r="B95" s="82" t="s">
        <v>251</v>
      </c>
      <c r="C95" s="24">
        <f t="shared" si="7"/>
        <v>0</v>
      </c>
      <c r="D95" s="20"/>
      <c r="E95" s="13"/>
      <c r="F95" s="16"/>
      <c r="H95" s="14">
        <f t="shared" si="6"/>
        <v>0</v>
      </c>
    </row>
    <row r="96" spans="1:8" s="14" customFormat="1">
      <c r="A96" s="102" t="s">
        <v>239</v>
      </c>
      <c r="B96" s="82" t="s">
        <v>244</v>
      </c>
      <c r="C96" s="24">
        <f t="shared" si="7"/>
        <v>0</v>
      </c>
      <c r="D96" s="20"/>
      <c r="E96" s="13"/>
      <c r="F96" s="16"/>
      <c r="H96" s="14">
        <f t="shared" si="6"/>
        <v>0</v>
      </c>
    </row>
    <row r="97" spans="1:8" s="14" customFormat="1">
      <c r="A97" s="102" t="s">
        <v>917</v>
      </c>
      <c r="B97" s="82" t="s">
        <v>913</v>
      </c>
      <c r="C97" s="24">
        <f>+D97+E97+F97</f>
        <v>0</v>
      </c>
      <c r="D97" s="20"/>
      <c r="E97" s="13"/>
      <c r="F97" s="16"/>
      <c r="H97" s="14">
        <f t="shared" si="6"/>
        <v>0</v>
      </c>
    </row>
    <row r="98" spans="1:8">
      <c r="A98" s="101" t="s">
        <v>240</v>
      </c>
      <c r="B98" s="83" t="s">
        <v>242</v>
      </c>
      <c r="C98" s="23">
        <f t="shared" si="7"/>
        <v>0</v>
      </c>
      <c r="D98" s="21"/>
      <c r="E98" s="12"/>
      <c r="F98" s="17"/>
      <c r="H98" s="4">
        <f t="shared" si="6"/>
        <v>0</v>
      </c>
    </row>
    <row r="99" spans="1:8">
      <c r="A99" s="94" t="s">
        <v>241</v>
      </c>
      <c r="B99" s="84" t="s">
        <v>243</v>
      </c>
      <c r="C99" s="26">
        <f t="shared" si="7"/>
        <v>0</v>
      </c>
      <c r="D99" s="27"/>
      <c r="E99" s="28"/>
      <c r="F99" s="29"/>
      <c r="H99" s="4">
        <f t="shared" si="6"/>
        <v>0</v>
      </c>
    </row>
    <row r="100" spans="1:8" ht="12.75" thickBot="1">
      <c r="A100" s="94" t="s">
        <v>919</v>
      </c>
      <c r="B100" s="84" t="s">
        <v>915</v>
      </c>
      <c r="C100" s="26">
        <f>+D100+E100+F100</f>
        <v>0</v>
      </c>
      <c r="D100" s="27"/>
      <c r="E100" s="28"/>
      <c r="F100" s="29"/>
      <c r="H100" s="4">
        <f t="shared" si="6"/>
        <v>0</v>
      </c>
    </row>
    <row r="101" spans="1:8" s="3" customFormat="1" ht="12.75" thickBot="1">
      <c r="A101" s="99" t="s">
        <v>43</v>
      </c>
      <c r="B101" s="85" t="s">
        <v>305</v>
      </c>
      <c r="C101" s="44">
        <f>+C71+C86</f>
        <v>364861</v>
      </c>
      <c r="D101" s="33">
        <f>+D71+D86</f>
        <v>356764</v>
      </c>
      <c r="E101" s="34">
        <f>+E71+E86</f>
        <v>8097</v>
      </c>
      <c r="F101" s="35">
        <f>+F71+F86</f>
        <v>0</v>
      </c>
      <c r="H101" s="3">
        <f t="shared" si="6"/>
        <v>0</v>
      </c>
    </row>
    <row r="102" spans="1:8" s="3" customFormat="1" ht="12.75" thickBot="1">
      <c r="A102" s="103" t="s">
        <v>40</v>
      </c>
      <c r="B102" s="87" t="s">
        <v>306</v>
      </c>
      <c r="C102" s="45">
        <f>+C70+C101</f>
        <v>406320</v>
      </c>
      <c r="D102" s="30">
        <f>+D70+D101</f>
        <v>366072</v>
      </c>
      <c r="E102" s="31">
        <f>+E70+E101</f>
        <v>40248</v>
      </c>
      <c r="F102" s="32">
        <f>+F70+F101</f>
        <v>0</v>
      </c>
      <c r="H102" s="3">
        <f t="shared" si="6"/>
        <v>0</v>
      </c>
    </row>
    <row r="103" spans="1:8" s="3" customFormat="1">
      <c r="A103" s="66"/>
      <c r="B103" s="37"/>
      <c r="C103" s="37"/>
      <c r="D103" s="37"/>
      <c r="E103" s="37"/>
      <c r="F103" s="37"/>
    </row>
    <row r="104" spans="1:8" s="3" customFormat="1">
      <c r="A104" s="66"/>
      <c r="B104" s="37"/>
      <c r="C104" s="37"/>
      <c r="D104" s="37"/>
      <c r="E104" s="37"/>
      <c r="F104" s="37"/>
    </row>
    <row r="105" spans="1:8" s="65" customFormat="1" ht="15.75">
      <c r="A105" s="1210" t="s">
        <v>80</v>
      </c>
      <c r="B105" s="1210"/>
      <c r="C105" s="1210"/>
      <c r="D105" s="1210"/>
      <c r="E105" s="1210"/>
      <c r="F105" s="1210"/>
    </row>
    <row r="106" spans="1:8" s="46" customFormat="1" ht="12.75" thickBot="1">
      <c r="A106" s="48" t="s">
        <v>278</v>
      </c>
      <c r="F106" s="47" t="s">
        <v>280</v>
      </c>
    </row>
    <row r="107" spans="1:8" s="3" customFormat="1" ht="48.75" thickBot="1">
      <c r="A107" s="95" t="s">
        <v>17</v>
      </c>
      <c r="B107" s="96" t="s">
        <v>328</v>
      </c>
      <c r="C107" s="49" t="s">
        <v>1442</v>
      </c>
      <c r="D107" s="6" t="s">
        <v>51</v>
      </c>
      <c r="E107" s="7" t="s">
        <v>52</v>
      </c>
      <c r="F107" s="8" t="s">
        <v>53</v>
      </c>
    </row>
    <row r="108" spans="1:8" s="3" customFormat="1" ht="12.75" thickBot="1">
      <c r="A108" s="97" t="s">
        <v>252</v>
      </c>
      <c r="B108" s="98" t="s">
        <v>253</v>
      </c>
      <c r="C108" s="1218" t="s">
        <v>254</v>
      </c>
      <c r="D108" s="1219"/>
      <c r="E108" s="1219"/>
      <c r="F108" s="1220"/>
    </row>
    <row r="109" spans="1:8" s="3" customFormat="1" ht="12.75" thickBot="1">
      <c r="A109" s="99" t="s">
        <v>4</v>
      </c>
      <c r="B109" s="85" t="s">
        <v>307</v>
      </c>
      <c r="C109" s="44">
        <f>+C110+C114+C116+C123+C132</f>
        <v>402320</v>
      </c>
      <c r="D109" s="33">
        <f>+D110+D114+D116+D123+D132</f>
        <v>362072</v>
      </c>
      <c r="E109" s="34">
        <f>+E110+E114+E116+E123+E132</f>
        <v>40248</v>
      </c>
      <c r="F109" s="35">
        <f>+F110+F114+F116+F123+F132</f>
        <v>0</v>
      </c>
      <c r="H109" s="3">
        <f t="shared" si="6"/>
        <v>0</v>
      </c>
    </row>
    <row r="110" spans="1:8" s="3" customFormat="1" ht="12.75" thickBot="1">
      <c r="A110" s="99" t="s">
        <v>5</v>
      </c>
      <c r="B110" s="80" t="s">
        <v>308</v>
      </c>
      <c r="C110" s="44">
        <f>+C112+C113</f>
        <v>288403</v>
      </c>
      <c r="D110" s="33">
        <f>+D112+D113</f>
        <v>273771</v>
      </c>
      <c r="E110" s="34">
        <f>+E112+E113</f>
        <v>14632</v>
      </c>
      <c r="F110" s="35">
        <f>+F112+F113</f>
        <v>0</v>
      </c>
      <c r="H110" s="3">
        <f t="shared" si="6"/>
        <v>0</v>
      </c>
    </row>
    <row r="111" spans="1:8" s="46" customFormat="1">
      <c r="A111" s="895" t="s">
        <v>348</v>
      </c>
      <c r="B111" s="896" t="s">
        <v>349</v>
      </c>
      <c r="C111" s="112">
        <f>+D111+E111+F111</f>
        <v>0</v>
      </c>
      <c r="D111" s="113"/>
      <c r="E111" s="114"/>
      <c r="F111" s="115"/>
      <c r="H111" s="46">
        <f t="shared" si="6"/>
        <v>0</v>
      </c>
    </row>
    <row r="112" spans="1:8">
      <c r="A112" s="100" t="s">
        <v>54</v>
      </c>
      <c r="B112" s="81" t="s">
        <v>126</v>
      </c>
      <c r="C112" s="36">
        <f>+D112+E112+F112</f>
        <v>286863</v>
      </c>
      <c r="D112" s="41">
        <v>272231</v>
      </c>
      <c r="E112" s="11">
        <v>14632</v>
      </c>
      <c r="F112" s="42"/>
      <c r="H112" s="4">
        <f t="shared" si="6"/>
        <v>0</v>
      </c>
    </row>
    <row r="113" spans="1:8" ht="12.75" thickBot="1">
      <c r="A113" s="94" t="s">
        <v>55</v>
      </c>
      <c r="B113" s="84" t="s">
        <v>127</v>
      </c>
      <c r="C113" s="26">
        <f>+D113+E113+F113</f>
        <v>1540</v>
      </c>
      <c r="D113" s="27">
        <v>1540</v>
      </c>
      <c r="E113" s="28"/>
      <c r="F113" s="29"/>
      <c r="H113" s="4">
        <f t="shared" si="6"/>
        <v>0</v>
      </c>
    </row>
    <row r="114" spans="1:8" s="3" customFormat="1" ht="12.75" thickBot="1">
      <c r="A114" s="99" t="s">
        <v>6</v>
      </c>
      <c r="B114" s="80" t="s">
        <v>255</v>
      </c>
      <c r="C114" s="44">
        <f>+D114+E114+F114</f>
        <v>53891</v>
      </c>
      <c r="D114" s="33">
        <v>51384</v>
      </c>
      <c r="E114" s="34">
        <v>2507</v>
      </c>
      <c r="F114" s="35"/>
      <c r="H114" s="3">
        <f t="shared" si="6"/>
        <v>0</v>
      </c>
    </row>
    <row r="115" spans="1:8" s="46" customFormat="1" ht="12.75" thickBot="1">
      <c r="A115" s="895" t="s">
        <v>345</v>
      </c>
      <c r="B115" s="896" t="s">
        <v>346</v>
      </c>
      <c r="C115" s="112">
        <f>+D115+E115+F115</f>
        <v>0</v>
      </c>
      <c r="D115" s="113"/>
      <c r="E115" s="114"/>
      <c r="F115" s="115"/>
      <c r="H115" s="46">
        <f t="shared" si="6"/>
        <v>0</v>
      </c>
    </row>
    <row r="116" spans="1:8" s="3" customFormat="1" ht="12.75" thickBot="1">
      <c r="A116" s="99" t="s">
        <v>3</v>
      </c>
      <c r="B116" s="80" t="s">
        <v>342</v>
      </c>
      <c r="C116" s="44">
        <f>+C118+C119+C120+C121+C122</f>
        <v>60026</v>
      </c>
      <c r="D116" s="33">
        <f>+D118+D119+D120+D121+D122</f>
        <v>36917</v>
      </c>
      <c r="E116" s="34">
        <f>+E118+E119+E120+E121+E122</f>
        <v>23109</v>
      </c>
      <c r="F116" s="35">
        <f>+F118+F119+F120+F121+F122</f>
        <v>0</v>
      </c>
      <c r="H116" s="3">
        <f t="shared" si="6"/>
        <v>0</v>
      </c>
    </row>
    <row r="117" spans="1:8" s="46" customFormat="1" ht="13.5" customHeight="1">
      <c r="A117" s="895" t="s">
        <v>340</v>
      </c>
      <c r="B117" s="896" t="s">
        <v>347</v>
      </c>
      <c r="C117" s="112">
        <f t="shared" ref="C117:C122" si="8">+D117+E117+F117</f>
        <v>0</v>
      </c>
      <c r="D117" s="113"/>
      <c r="E117" s="114"/>
      <c r="F117" s="115"/>
      <c r="H117" s="46">
        <f t="shared" si="6"/>
        <v>0</v>
      </c>
    </row>
    <row r="118" spans="1:8">
      <c r="A118" s="100" t="s">
        <v>61</v>
      </c>
      <c r="B118" s="81" t="s">
        <v>128</v>
      </c>
      <c r="C118" s="36">
        <f t="shared" si="8"/>
        <v>17529</v>
      </c>
      <c r="D118" s="41">
        <v>5115</v>
      </c>
      <c r="E118" s="11">
        <v>12414</v>
      </c>
      <c r="F118" s="42"/>
      <c r="H118" s="4">
        <f t="shared" si="6"/>
        <v>0</v>
      </c>
    </row>
    <row r="119" spans="1:8">
      <c r="A119" s="101" t="s">
        <v>62</v>
      </c>
      <c r="B119" s="83" t="s">
        <v>129</v>
      </c>
      <c r="C119" s="23">
        <f t="shared" si="8"/>
        <v>5682</v>
      </c>
      <c r="D119" s="21">
        <v>5670</v>
      </c>
      <c r="E119" s="12">
        <v>12</v>
      </c>
      <c r="F119" s="17"/>
      <c r="H119" s="4">
        <f t="shared" si="6"/>
        <v>0</v>
      </c>
    </row>
    <row r="120" spans="1:8">
      <c r="A120" s="101" t="s">
        <v>63</v>
      </c>
      <c r="B120" s="83" t="s">
        <v>130</v>
      </c>
      <c r="C120" s="23">
        <f t="shared" si="8"/>
        <v>21288</v>
      </c>
      <c r="D120" s="21">
        <v>17511</v>
      </c>
      <c r="E120" s="12">
        <v>3777</v>
      </c>
      <c r="F120" s="17"/>
      <c r="H120" s="4">
        <f t="shared" si="6"/>
        <v>0</v>
      </c>
    </row>
    <row r="121" spans="1:8">
      <c r="A121" s="101" t="s">
        <v>64</v>
      </c>
      <c r="B121" s="83" t="s">
        <v>131</v>
      </c>
      <c r="C121" s="23">
        <f t="shared" si="8"/>
        <v>200</v>
      </c>
      <c r="D121" s="21">
        <v>200</v>
      </c>
      <c r="E121" s="12"/>
      <c r="F121" s="17"/>
      <c r="H121" s="4">
        <f t="shared" si="6"/>
        <v>0</v>
      </c>
    </row>
    <row r="122" spans="1:8" ht="12.75" thickBot="1">
      <c r="A122" s="94" t="s">
        <v>65</v>
      </c>
      <c r="B122" s="84" t="s">
        <v>132</v>
      </c>
      <c r="C122" s="26">
        <f t="shared" si="8"/>
        <v>15327</v>
      </c>
      <c r="D122" s="27">
        <v>8421</v>
      </c>
      <c r="E122" s="28">
        <v>6906</v>
      </c>
      <c r="F122" s="29"/>
      <c r="H122" s="4">
        <f t="shared" si="6"/>
        <v>0</v>
      </c>
    </row>
    <row r="123" spans="1:8" s="3" customFormat="1" ht="12.75" thickBot="1">
      <c r="A123" s="99" t="s">
        <v>16</v>
      </c>
      <c r="B123" s="80" t="s">
        <v>309</v>
      </c>
      <c r="C123" s="44">
        <f>+C124+C125+C126+C127+C128+C129+C130+C131</f>
        <v>0</v>
      </c>
      <c r="D123" s="33">
        <f>+D124+D125+D126+D127+D128+D129+D130+D131</f>
        <v>0</v>
      </c>
      <c r="E123" s="34">
        <f>+E124+E125+E126+E127+E128+E129+E130+E131</f>
        <v>0</v>
      </c>
      <c r="F123" s="35">
        <f>+F124+F125+F126+F127+F128+F129+F130+F131</f>
        <v>0</v>
      </c>
      <c r="H123" s="3">
        <f t="shared" si="6"/>
        <v>0</v>
      </c>
    </row>
    <row r="124" spans="1:8">
      <c r="A124" s="100" t="s">
        <v>226</v>
      </c>
      <c r="B124" s="81" t="s">
        <v>133</v>
      </c>
      <c r="C124" s="36">
        <f t="shared" ref="C124:C131" si="9">+D124+E124+F124</f>
        <v>0</v>
      </c>
      <c r="D124" s="41"/>
      <c r="E124" s="11"/>
      <c r="F124" s="42"/>
      <c r="H124" s="4">
        <f t="shared" si="6"/>
        <v>0</v>
      </c>
    </row>
    <row r="125" spans="1:8">
      <c r="A125" s="101" t="s">
        <v>227</v>
      </c>
      <c r="B125" s="83" t="s">
        <v>134</v>
      </c>
      <c r="C125" s="23">
        <f t="shared" si="9"/>
        <v>0</v>
      </c>
      <c r="D125" s="21"/>
      <c r="E125" s="12"/>
      <c r="F125" s="17"/>
      <c r="H125" s="4">
        <f t="shared" si="6"/>
        <v>0</v>
      </c>
    </row>
    <row r="126" spans="1:8">
      <c r="A126" s="101" t="s">
        <v>228</v>
      </c>
      <c r="B126" s="83" t="s">
        <v>135</v>
      </c>
      <c r="C126" s="23">
        <f t="shared" si="9"/>
        <v>0</v>
      </c>
      <c r="D126" s="21"/>
      <c r="E126" s="12"/>
      <c r="F126" s="17"/>
      <c r="H126" s="4">
        <f t="shared" si="6"/>
        <v>0</v>
      </c>
    </row>
    <row r="127" spans="1:8">
      <c r="A127" s="101" t="s">
        <v>256</v>
      </c>
      <c r="B127" s="83" t="s">
        <v>136</v>
      </c>
      <c r="C127" s="23">
        <f t="shared" si="9"/>
        <v>0</v>
      </c>
      <c r="D127" s="21"/>
      <c r="E127" s="12"/>
      <c r="F127" s="17"/>
      <c r="H127" s="4">
        <f t="shared" si="6"/>
        <v>0</v>
      </c>
    </row>
    <row r="128" spans="1:8">
      <c r="A128" s="101" t="s">
        <v>257</v>
      </c>
      <c r="B128" s="83" t="s">
        <v>137</v>
      </c>
      <c r="C128" s="23">
        <f t="shared" si="9"/>
        <v>0</v>
      </c>
      <c r="D128" s="21"/>
      <c r="E128" s="12"/>
      <c r="F128" s="17"/>
      <c r="H128" s="4">
        <f t="shared" si="6"/>
        <v>0</v>
      </c>
    </row>
    <row r="129" spans="1:8">
      <c r="A129" s="101" t="s">
        <v>258</v>
      </c>
      <c r="B129" s="83" t="s">
        <v>138</v>
      </c>
      <c r="C129" s="23">
        <f t="shared" si="9"/>
        <v>0</v>
      </c>
      <c r="D129" s="21"/>
      <c r="E129" s="12"/>
      <c r="F129" s="17"/>
      <c r="H129" s="4">
        <f t="shared" si="6"/>
        <v>0</v>
      </c>
    </row>
    <row r="130" spans="1:8">
      <c r="A130" s="101" t="s">
        <v>259</v>
      </c>
      <c r="B130" s="83" t="s">
        <v>139</v>
      </c>
      <c r="C130" s="23">
        <f t="shared" si="9"/>
        <v>0</v>
      </c>
      <c r="D130" s="21"/>
      <c r="E130" s="12"/>
      <c r="F130" s="17"/>
      <c r="H130" s="4">
        <f t="shared" si="6"/>
        <v>0</v>
      </c>
    </row>
    <row r="131" spans="1:8" ht="12.75" thickBot="1">
      <c r="A131" s="94" t="s">
        <v>260</v>
      </c>
      <c r="B131" s="84" t="s">
        <v>140</v>
      </c>
      <c r="C131" s="26">
        <f t="shared" si="9"/>
        <v>0</v>
      </c>
      <c r="D131" s="27"/>
      <c r="E131" s="28"/>
      <c r="F131" s="29"/>
      <c r="H131" s="4">
        <f t="shared" si="6"/>
        <v>0</v>
      </c>
    </row>
    <row r="132" spans="1:8" s="3" customFormat="1" ht="12.75" thickBot="1">
      <c r="A132" s="99" t="s">
        <v>15</v>
      </c>
      <c r="B132" s="80" t="s">
        <v>923</v>
      </c>
      <c r="C132" s="44">
        <f>+C133+C134+C135+C136+C137+C138+C140+C141+C142+C143+C144+C145+C146</f>
        <v>0</v>
      </c>
      <c r="D132" s="33">
        <f>+D133+D134+D135+D136+D137+D138+D140+D141+D142+D143+D144+D145+D146</f>
        <v>0</v>
      </c>
      <c r="E132" s="34">
        <f>+E133+E134+E135+E136+E137+E138+E140+E141+E142+E143+E144+E145+E146</f>
        <v>0</v>
      </c>
      <c r="F132" s="35">
        <f>+F133+F134+F135+F136+F137+F138+F140+F141+F142+F143+F144+F145+F146</f>
        <v>0</v>
      </c>
      <c r="H132" s="3">
        <f t="shared" si="6"/>
        <v>0</v>
      </c>
    </row>
    <row r="133" spans="1:8">
      <c r="A133" s="100" t="s">
        <v>87</v>
      </c>
      <c r="B133" s="81" t="s">
        <v>141</v>
      </c>
      <c r="C133" s="36">
        <f t="shared" ref="C133:C145" si="10">+D133+E133+F133</f>
        <v>0</v>
      </c>
      <c r="D133" s="41"/>
      <c r="E133" s="11"/>
      <c r="F133" s="42"/>
      <c r="H133" s="4">
        <f t="shared" si="6"/>
        <v>0</v>
      </c>
    </row>
    <row r="134" spans="1:8">
      <c r="A134" s="101" t="s">
        <v>88</v>
      </c>
      <c r="B134" s="83" t="s">
        <v>142</v>
      </c>
      <c r="C134" s="23">
        <f t="shared" si="10"/>
        <v>0</v>
      </c>
      <c r="D134" s="21"/>
      <c r="E134" s="12"/>
      <c r="F134" s="17"/>
      <c r="H134" s="4">
        <f t="shared" si="6"/>
        <v>0</v>
      </c>
    </row>
    <row r="135" spans="1:8">
      <c r="A135" s="101" t="s">
        <v>181</v>
      </c>
      <c r="B135" s="83" t="s">
        <v>143</v>
      </c>
      <c r="C135" s="23">
        <f t="shared" si="10"/>
        <v>0</v>
      </c>
      <c r="D135" s="21"/>
      <c r="E135" s="12"/>
      <c r="F135" s="17"/>
      <c r="H135" s="4">
        <f t="shared" si="6"/>
        <v>0</v>
      </c>
    </row>
    <row r="136" spans="1:8">
      <c r="A136" s="101" t="s">
        <v>182</v>
      </c>
      <c r="B136" s="83" t="s">
        <v>144</v>
      </c>
      <c r="C136" s="23">
        <f t="shared" si="10"/>
        <v>0</v>
      </c>
      <c r="D136" s="21"/>
      <c r="E136" s="12"/>
      <c r="F136" s="17"/>
      <c r="H136" s="4">
        <f t="shared" si="6"/>
        <v>0</v>
      </c>
    </row>
    <row r="137" spans="1:8">
      <c r="A137" s="101" t="s">
        <v>183</v>
      </c>
      <c r="B137" s="83" t="s">
        <v>145</v>
      </c>
      <c r="C137" s="23">
        <f t="shared" si="10"/>
        <v>0</v>
      </c>
      <c r="D137" s="21"/>
      <c r="E137" s="12"/>
      <c r="F137" s="17"/>
      <c r="H137" s="4">
        <f t="shared" si="6"/>
        <v>0</v>
      </c>
    </row>
    <row r="138" spans="1:8">
      <c r="A138" s="101" t="s">
        <v>261</v>
      </c>
      <c r="B138" s="83" t="s">
        <v>146</v>
      </c>
      <c r="C138" s="23">
        <f t="shared" si="10"/>
        <v>0</v>
      </c>
      <c r="D138" s="21"/>
      <c r="E138" s="12"/>
      <c r="F138" s="17"/>
      <c r="H138" s="4">
        <f t="shared" si="6"/>
        <v>0</v>
      </c>
    </row>
    <row r="139" spans="1:8" s="14" customFormat="1">
      <c r="A139" s="105" t="s">
        <v>335</v>
      </c>
      <c r="B139" s="894" t="s">
        <v>929</v>
      </c>
      <c r="C139" s="58">
        <f t="shared" si="10"/>
        <v>0</v>
      </c>
      <c r="D139" s="56"/>
      <c r="E139" s="54"/>
      <c r="F139" s="55"/>
      <c r="H139" s="14">
        <f t="shared" ref="H139:H202" si="11">+C139-D139-E139-F139</f>
        <v>0</v>
      </c>
    </row>
    <row r="140" spans="1:8">
      <c r="A140" s="101" t="s">
        <v>262</v>
      </c>
      <c r="B140" s="83" t="s">
        <v>147</v>
      </c>
      <c r="C140" s="23">
        <f t="shared" si="10"/>
        <v>0</v>
      </c>
      <c r="D140" s="21"/>
      <c r="E140" s="12"/>
      <c r="F140" s="17"/>
      <c r="H140" s="4">
        <f t="shared" si="11"/>
        <v>0</v>
      </c>
    </row>
    <row r="141" spans="1:8">
      <c r="A141" s="101" t="s">
        <v>263</v>
      </c>
      <c r="B141" s="83" t="s">
        <v>148</v>
      </c>
      <c r="C141" s="23">
        <f t="shared" si="10"/>
        <v>0</v>
      </c>
      <c r="D141" s="21"/>
      <c r="E141" s="12"/>
      <c r="F141" s="17"/>
      <c r="H141" s="4">
        <f t="shared" si="11"/>
        <v>0</v>
      </c>
    </row>
    <row r="142" spans="1:8">
      <c r="A142" s="101" t="s">
        <v>264</v>
      </c>
      <c r="B142" s="83" t="s">
        <v>149</v>
      </c>
      <c r="C142" s="23">
        <f t="shared" si="10"/>
        <v>0</v>
      </c>
      <c r="D142" s="21"/>
      <c r="E142" s="12"/>
      <c r="F142" s="17"/>
      <c r="H142" s="4">
        <f t="shared" si="11"/>
        <v>0</v>
      </c>
    </row>
    <row r="143" spans="1:8">
      <c r="A143" s="101" t="s">
        <v>265</v>
      </c>
      <c r="B143" s="83" t="s">
        <v>150</v>
      </c>
      <c r="C143" s="23">
        <f t="shared" si="10"/>
        <v>0</v>
      </c>
      <c r="D143" s="21"/>
      <c r="E143" s="12"/>
      <c r="F143" s="17"/>
      <c r="H143" s="4">
        <f t="shared" si="11"/>
        <v>0</v>
      </c>
    </row>
    <row r="144" spans="1:8">
      <c r="A144" s="101" t="s">
        <v>266</v>
      </c>
      <c r="B144" s="83" t="s">
        <v>924</v>
      </c>
      <c r="C144" s="23">
        <f>+D144+E144+F144</f>
        <v>0</v>
      </c>
      <c r="D144" s="21"/>
      <c r="E144" s="12"/>
      <c r="F144" s="17"/>
      <c r="H144" s="4">
        <f t="shared" si="11"/>
        <v>0</v>
      </c>
    </row>
    <row r="145" spans="1:8">
      <c r="A145" s="101" t="s">
        <v>267</v>
      </c>
      <c r="B145" s="83" t="s">
        <v>925</v>
      </c>
      <c r="C145" s="23">
        <f t="shared" si="10"/>
        <v>0</v>
      </c>
      <c r="D145" s="21"/>
      <c r="E145" s="12"/>
      <c r="F145" s="17"/>
      <c r="H145" s="4">
        <f t="shared" si="11"/>
        <v>0</v>
      </c>
    </row>
    <row r="146" spans="1:8">
      <c r="A146" s="94" t="s">
        <v>920</v>
      </c>
      <c r="B146" s="84" t="s">
        <v>926</v>
      </c>
      <c r="C146" s="26">
        <f>+C147+C148</f>
        <v>0</v>
      </c>
      <c r="D146" s="27">
        <f>+D147+D148</f>
        <v>0</v>
      </c>
      <c r="E146" s="28">
        <f>+E147+E148</f>
        <v>0</v>
      </c>
      <c r="F146" s="29">
        <f>+F147+F148</f>
        <v>0</v>
      </c>
      <c r="H146" s="4">
        <f t="shared" si="11"/>
        <v>0</v>
      </c>
    </row>
    <row r="147" spans="1:8" s="14" customFormat="1">
      <c r="A147" s="105" t="s">
        <v>921</v>
      </c>
      <c r="B147" s="90" t="s">
        <v>927</v>
      </c>
      <c r="C147" s="58">
        <f>+D147+E147+F147</f>
        <v>0</v>
      </c>
      <c r="D147" s="56"/>
      <c r="E147" s="54"/>
      <c r="F147" s="55"/>
      <c r="H147" s="14">
        <f t="shared" si="11"/>
        <v>0</v>
      </c>
    </row>
    <row r="148" spans="1:8" s="14" customFormat="1" ht="12.75" thickBot="1">
      <c r="A148" s="105" t="s">
        <v>922</v>
      </c>
      <c r="B148" s="90" t="s">
        <v>928</v>
      </c>
      <c r="C148" s="58">
        <f>+D148+E148+F148</f>
        <v>0</v>
      </c>
      <c r="D148" s="56"/>
      <c r="E148" s="54"/>
      <c r="F148" s="55"/>
      <c r="H148" s="14">
        <f t="shared" si="11"/>
        <v>0</v>
      </c>
    </row>
    <row r="149" spans="1:8" s="3" customFormat="1" ht="12.75" thickBot="1">
      <c r="A149" s="99" t="s">
        <v>14</v>
      </c>
      <c r="B149" s="85" t="s">
        <v>310</v>
      </c>
      <c r="C149" s="44">
        <f>+C150+C159+C165</f>
        <v>4000</v>
      </c>
      <c r="D149" s="33">
        <f>+D150+D159+D165</f>
        <v>4000</v>
      </c>
      <c r="E149" s="34">
        <f>+E150+E159+E165</f>
        <v>0</v>
      </c>
      <c r="F149" s="35">
        <f>+F150+F159+F165</f>
        <v>0</v>
      </c>
      <c r="H149" s="3">
        <f t="shared" si="11"/>
        <v>0</v>
      </c>
    </row>
    <row r="150" spans="1:8" s="3" customFormat="1" ht="12.75" thickBot="1">
      <c r="A150" s="99" t="s">
        <v>13</v>
      </c>
      <c r="B150" s="80" t="s">
        <v>311</v>
      </c>
      <c r="C150" s="44">
        <f>+C152+C153+C154+C155+C156+C157+C158</f>
        <v>4000</v>
      </c>
      <c r="D150" s="33">
        <f>+D152+D153+D154+D155+D156+D157+D158</f>
        <v>4000</v>
      </c>
      <c r="E150" s="34">
        <f>+E152+E153+E154+E155+E156+E157+E158</f>
        <v>0</v>
      </c>
      <c r="F150" s="35">
        <f>+F152+F153+F154+F155+F156+F157+F158</f>
        <v>0</v>
      </c>
      <c r="H150" s="3">
        <f t="shared" si="11"/>
        <v>0</v>
      </c>
    </row>
    <row r="151" spans="1:8" s="46" customFormat="1">
      <c r="A151" s="895" t="s">
        <v>930</v>
      </c>
      <c r="B151" s="896" t="s">
        <v>341</v>
      </c>
      <c r="C151" s="112">
        <f t="shared" ref="C151:C158" si="12">+D151+E151+F151</f>
        <v>0</v>
      </c>
      <c r="D151" s="113"/>
      <c r="E151" s="114"/>
      <c r="F151" s="115"/>
      <c r="H151" s="46">
        <f t="shared" si="11"/>
        <v>0</v>
      </c>
    </row>
    <row r="152" spans="1:8">
      <c r="A152" s="100" t="s">
        <v>66</v>
      </c>
      <c r="B152" s="81" t="s">
        <v>151</v>
      </c>
      <c r="C152" s="36">
        <f t="shared" si="12"/>
        <v>0</v>
      </c>
      <c r="D152" s="41"/>
      <c r="E152" s="11"/>
      <c r="F152" s="42"/>
      <c r="H152" s="4">
        <f t="shared" si="11"/>
        <v>0</v>
      </c>
    </row>
    <row r="153" spans="1:8">
      <c r="A153" s="101" t="s">
        <v>67</v>
      </c>
      <c r="B153" s="83" t="s">
        <v>152</v>
      </c>
      <c r="C153" s="23">
        <f t="shared" si="12"/>
        <v>0</v>
      </c>
      <c r="D153" s="21"/>
      <c r="E153" s="12"/>
      <c r="F153" s="17"/>
      <c r="H153" s="4">
        <f t="shared" si="11"/>
        <v>0</v>
      </c>
    </row>
    <row r="154" spans="1:8">
      <c r="A154" s="101" t="s">
        <v>68</v>
      </c>
      <c r="B154" s="83" t="s">
        <v>153</v>
      </c>
      <c r="C154" s="23">
        <f t="shared" si="12"/>
        <v>3150</v>
      </c>
      <c r="D154" s="21">
        <v>3150</v>
      </c>
      <c r="E154" s="12"/>
      <c r="F154" s="17"/>
      <c r="H154" s="4">
        <f t="shared" si="11"/>
        <v>0</v>
      </c>
    </row>
    <row r="155" spans="1:8">
      <c r="A155" s="101" t="s">
        <v>229</v>
      </c>
      <c r="B155" s="83" t="s">
        <v>154</v>
      </c>
      <c r="C155" s="23">
        <f t="shared" si="12"/>
        <v>0</v>
      </c>
      <c r="D155" s="21"/>
      <c r="E155" s="12"/>
      <c r="F155" s="17"/>
      <c r="H155" s="4">
        <f t="shared" si="11"/>
        <v>0</v>
      </c>
    </row>
    <row r="156" spans="1:8">
      <c r="A156" s="101" t="s">
        <v>230</v>
      </c>
      <c r="B156" s="83" t="s">
        <v>155</v>
      </c>
      <c r="C156" s="23">
        <f t="shared" si="12"/>
        <v>0</v>
      </c>
      <c r="D156" s="21"/>
      <c r="E156" s="12"/>
      <c r="F156" s="17"/>
      <c r="H156" s="4">
        <f t="shared" si="11"/>
        <v>0</v>
      </c>
    </row>
    <row r="157" spans="1:8">
      <c r="A157" s="101" t="s">
        <v>268</v>
      </c>
      <c r="B157" s="83" t="s">
        <v>156</v>
      </c>
      <c r="C157" s="23">
        <f t="shared" si="12"/>
        <v>0</v>
      </c>
      <c r="D157" s="21"/>
      <c r="E157" s="12"/>
      <c r="F157" s="17"/>
      <c r="H157" s="4">
        <f t="shared" si="11"/>
        <v>0</v>
      </c>
    </row>
    <row r="158" spans="1:8" ht="12.75" thickBot="1">
      <c r="A158" s="94" t="s">
        <v>269</v>
      </c>
      <c r="B158" s="84" t="s">
        <v>157</v>
      </c>
      <c r="C158" s="26">
        <f t="shared" si="12"/>
        <v>850</v>
      </c>
      <c r="D158" s="27">
        <v>850</v>
      </c>
      <c r="E158" s="28"/>
      <c r="F158" s="29"/>
      <c r="H158" s="4">
        <f t="shared" si="11"/>
        <v>0</v>
      </c>
    </row>
    <row r="159" spans="1:8" s="3" customFormat="1" ht="12.75" thickBot="1">
      <c r="A159" s="99" t="s">
        <v>12</v>
      </c>
      <c r="B159" s="80" t="s">
        <v>312</v>
      </c>
      <c r="C159" s="44">
        <f>+C161+C162+C163+C164</f>
        <v>0</v>
      </c>
      <c r="D159" s="33">
        <f>+D161+D162+D163+D164</f>
        <v>0</v>
      </c>
      <c r="E159" s="34">
        <f>+E161+E162+E163+E164</f>
        <v>0</v>
      </c>
      <c r="F159" s="35">
        <f>+F161+F162+F163+F164</f>
        <v>0</v>
      </c>
      <c r="H159" s="3">
        <f t="shared" si="11"/>
        <v>0</v>
      </c>
    </row>
    <row r="160" spans="1:8" s="46" customFormat="1">
      <c r="A160" s="895" t="s">
        <v>343</v>
      </c>
      <c r="B160" s="896" t="s">
        <v>344</v>
      </c>
      <c r="C160" s="112">
        <f>+D160+E160+F160</f>
        <v>0</v>
      </c>
      <c r="D160" s="113"/>
      <c r="E160" s="114"/>
      <c r="F160" s="115"/>
      <c r="H160" s="46">
        <f t="shared" si="11"/>
        <v>0</v>
      </c>
    </row>
    <row r="161" spans="1:8">
      <c r="A161" s="100" t="s">
        <v>69</v>
      </c>
      <c r="B161" s="81" t="s">
        <v>158</v>
      </c>
      <c r="C161" s="36">
        <f>+D161+E161+F161</f>
        <v>0</v>
      </c>
      <c r="D161" s="41"/>
      <c r="E161" s="11"/>
      <c r="F161" s="42"/>
      <c r="H161" s="4">
        <f t="shared" si="11"/>
        <v>0</v>
      </c>
    </row>
    <row r="162" spans="1:8">
      <c r="A162" s="101" t="s">
        <v>70</v>
      </c>
      <c r="B162" s="83" t="s">
        <v>159</v>
      </c>
      <c r="C162" s="23">
        <f>+D162+E162+F162</f>
        <v>0</v>
      </c>
      <c r="D162" s="21"/>
      <c r="E162" s="12"/>
      <c r="F162" s="17"/>
      <c r="H162" s="4">
        <f t="shared" si="11"/>
        <v>0</v>
      </c>
    </row>
    <row r="163" spans="1:8">
      <c r="A163" s="101" t="s">
        <v>71</v>
      </c>
      <c r="B163" s="83" t="s">
        <v>160</v>
      </c>
      <c r="C163" s="23">
        <f>+D163+E163+F163</f>
        <v>0</v>
      </c>
      <c r="D163" s="21"/>
      <c r="E163" s="12"/>
      <c r="F163" s="17"/>
      <c r="H163" s="4">
        <f t="shared" si="11"/>
        <v>0</v>
      </c>
    </row>
    <row r="164" spans="1:8" ht="12.75" thickBot="1">
      <c r="A164" s="94" t="s">
        <v>72</v>
      </c>
      <c r="B164" s="84" t="s">
        <v>161</v>
      </c>
      <c r="C164" s="26">
        <f>+D164+E164+F164</f>
        <v>0</v>
      </c>
      <c r="D164" s="27"/>
      <c r="E164" s="28"/>
      <c r="F164" s="29"/>
      <c r="H164" s="4">
        <f t="shared" si="11"/>
        <v>0</v>
      </c>
    </row>
    <row r="165" spans="1:8" s="3" customFormat="1" ht="12.75" thickBot="1">
      <c r="A165" s="99" t="s">
        <v>11</v>
      </c>
      <c r="B165" s="80" t="s">
        <v>932</v>
      </c>
      <c r="C165" s="44">
        <f>+C166+C167+C168+C169+C171+C172+C173+C174+C175</f>
        <v>0</v>
      </c>
      <c r="D165" s="33">
        <f>+D166+D167+D168+D169+D171+D172+D173+D174+D175</f>
        <v>0</v>
      </c>
      <c r="E165" s="34">
        <f>+E166+E167+E168+E169+E171+E172+E173+E174+E175</f>
        <v>0</v>
      </c>
      <c r="F165" s="35">
        <f>+F166+F167+F168+F169+F171+F172+F173+F174+F175</f>
        <v>0</v>
      </c>
      <c r="H165" s="3">
        <f t="shared" si="11"/>
        <v>0</v>
      </c>
    </row>
    <row r="166" spans="1:8">
      <c r="A166" s="100" t="s">
        <v>270</v>
      </c>
      <c r="B166" s="81" t="s">
        <v>162</v>
      </c>
      <c r="C166" s="36">
        <f t="shared" ref="C166:C175" si="13">+D166+E166+F166</f>
        <v>0</v>
      </c>
      <c r="D166" s="41"/>
      <c r="E166" s="11"/>
      <c r="F166" s="42"/>
      <c r="H166" s="4">
        <f t="shared" si="11"/>
        <v>0</v>
      </c>
    </row>
    <row r="167" spans="1:8">
      <c r="A167" s="101" t="s">
        <v>271</v>
      </c>
      <c r="B167" s="83" t="s">
        <v>163</v>
      </c>
      <c r="C167" s="23">
        <f t="shared" si="13"/>
        <v>0</v>
      </c>
      <c r="D167" s="21"/>
      <c r="E167" s="12"/>
      <c r="F167" s="17"/>
      <c r="H167" s="4">
        <f t="shared" si="11"/>
        <v>0</v>
      </c>
    </row>
    <row r="168" spans="1:8">
      <c r="A168" s="101" t="s">
        <v>272</v>
      </c>
      <c r="B168" s="83" t="s">
        <v>164</v>
      </c>
      <c r="C168" s="23">
        <f t="shared" si="13"/>
        <v>0</v>
      </c>
      <c r="D168" s="21"/>
      <c r="E168" s="12"/>
      <c r="F168" s="17"/>
      <c r="H168" s="4">
        <f t="shared" si="11"/>
        <v>0</v>
      </c>
    </row>
    <row r="169" spans="1:8">
      <c r="A169" s="101" t="s">
        <v>273</v>
      </c>
      <c r="B169" s="83" t="s">
        <v>165</v>
      </c>
      <c r="C169" s="23">
        <f t="shared" si="13"/>
        <v>0</v>
      </c>
      <c r="D169" s="21"/>
      <c r="E169" s="12"/>
      <c r="F169" s="17"/>
      <c r="H169" s="4">
        <f t="shared" si="11"/>
        <v>0</v>
      </c>
    </row>
    <row r="170" spans="1:8" s="14" customFormat="1">
      <c r="A170" s="105" t="s">
        <v>338</v>
      </c>
      <c r="B170" s="894" t="s">
        <v>339</v>
      </c>
      <c r="C170" s="58">
        <f t="shared" si="13"/>
        <v>0</v>
      </c>
      <c r="D170" s="56"/>
      <c r="E170" s="54"/>
      <c r="F170" s="55"/>
      <c r="H170" s="14">
        <f t="shared" si="11"/>
        <v>0</v>
      </c>
    </row>
    <row r="171" spans="1:8">
      <c r="A171" s="101" t="s">
        <v>274</v>
      </c>
      <c r="B171" s="83" t="s">
        <v>166</v>
      </c>
      <c r="C171" s="23">
        <f t="shared" si="13"/>
        <v>0</v>
      </c>
      <c r="D171" s="21"/>
      <c r="E171" s="12"/>
      <c r="F171" s="17"/>
      <c r="H171" s="4">
        <f t="shared" si="11"/>
        <v>0</v>
      </c>
    </row>
    <row r="172" spans="1:8">
      <c r="A172" s="101" t="s">
        <v>275</v>
      </c>
      <c r="B172" s="83" t="s">
        <v>167</v>
      </c>
      <c r="C172" s="23">
        <f t="shared" si="13"/>
        <v>0</v>
      </c>
      <c r="D172" s="21"/>
      <c r="E172" s="12"/>
      <c r="F172" s="17"/>
      <c r="H172" s="4">
        <f t="shared" si="11"/>
        <v>0</v>
      </c>
    </row>
    <row r="173" spans="1:8">
      <c r="A173" s="101" t="s">
        <v>276</v>
      </c>
      <c r="B173" s="83" t="s">
        <v>168</v>
      </c>
      <c r="C173" s="23">
        <f t="shared" si="13"/>
        <v>0</v>
      </c>
      <c r="D173" s="21"/>
      <c r="E173" s="12"/>
      <c r="F173" s="17"/>
      <c r="H173" s="4">
        <f t="shared" si="11"/>
        <v>0</v>
      </c>
    </row>
    <row r="174" spans="1:8">
      <c r="A174" s="101" t="s">
        <v>277</v>
      </c>
      <c r="B174" s="83" t="s">
        <v>933</v>
      </c>
      <c r="C174" s="23">
        <f>+D174+E174+F174</f>
        <v>0</v>
      </c>
      <c r="D174" s="21"/>
      <c r="E174" s="12"/>
      <c r="F174" s="17"/>
      <c r="H174" s="4">
        <f t="shared" si="11"/>
        <v>0</v>
      </c>
    </row>
    <row r="175" spans="1:8" ht="12.75" thickBot="1">
      <c r="A175" s="94" t="s">
        <v>931</v>
      </c>
      <c r="B175" s="84" t="s">
        <v>934</v>
      </c>
      <c r="C175" s="26">
        <f t="shared" si="13"/>
        <v>0</v>
      </c>
      <c r="D175" s="27"/>
      <c r="E175" s="28"/>
      <c r="F175" s="29"/>
      <c r="H175" s="4">
        <f t="shared" si="11"/>
        <v>0</v>
      </c>
    </row>
    <row r="176" spans="1:8" s="3" customFormat="1" ht="12.75" thickBot="1">
      <c r="A176" s="99" t="s">
        <v>10</v>
      </c>
      <c r="B176" s="85" t="s">
        <v>313</v>
      </c>
      <c r="C176" s="44">
        <f>+C109+C149</f>
        <v>406320</v>
      </c>
      <c r="D176" s="33">
        <f>+D109+D149</f>
        <v>366072</v>
      </c>
      <c r="E176" s="34">
        <f>+E109+E149</f>
        <v>40248</v>
      </c>
      <c r="F176" s="35">
        <f>+F109+F149</f>
        <v>0</v>
      </c>
      <c r="H176" s="3">
        <f t="shared" si="11"/>
        <v>0</v>
      </c>
    </row>
    <row r="177" spans="1:8" s="3" customFormat="1" ht="12.75" thickBot="1">
      <c r="A177" s="99" t="s">
        <v>9</v>
      </c>
      <c r="B177" s="86" t="s">
        <v>314</v>
      </c>
      <c r="C177" s="44">
        <f>+C178</f>
        <v>0</v>
      </c>
      <c r="D177" s="33">
        <f>+D178</f>
        <v>0</v>
      </c>
      <c r="E177" s="34">
        <f>+E178</f>
        <v>0</v>
      </c>
      <c r="F177" s="35">
        <f>+F178</f>
        <v>0</v>
      </c>
      <c r="H177" s="3">
        <f t="shared" si="11"/>
        <v>0</v>
      </c>
    </row>
    <row r="178" spans="1:8" s="3" customFormat="1" ht="12.75" thickBot="1">
      <c r="A178" s="99" t="s">
        <v>45</v>
      </c>
      <c r="B178" s="80" t="s">
        <v>941</v>
      </c>
      <c r="C178" s="44">
        <f>+C179+C189+C190+C191</f>
        <v>0</v>
      </c>
      <c r="D178" s="33">
        <f>+D179+D189+D190+D191</f>
        <v>0</v>
      </c>
      <c r="E178" s="34">
        <f>+E179+E189+E190+E191</f>
        <v>0</v>
      </c>
      <c r="F178" s="35">
        <f>+F179+F189+F190+F191</f>
        <v>0</v>
      </c>
      <c r="H178" s="3">
        <f t="shared" si="11"/>
        <v>0</v>
      </c>
    </row>
    <row r="179" spans="1:8">
      <c r="A179" s="100" t="s">
        <v>75</v>
      </c>
      <c r="B179" s="81" t="s">
        <v>942</v>
      </c>
      <c r="C179" s="36">
        <f>+C180+C181+C182+C183+C184+C185+C186+C187+C188</f>
        <v>0</v>
      </c>
      <c r="D179" s="41">
        <f>+D180+D181+D182+D183+D184+D185+D186+D187+D188</f>
        <v>0</v>
      </c>
      <c r="E179" s="11">
        <f>+E180+E181+E182+E183+E184+E185+E186+E187+E188</f>
        <v>0</v>
      </c>
      <c r="F179" s="42">
        <f>+F180+F181+F182+F183+F184+F185+F186+F187+F188</f>
        <v>0</v>
      </c>
      <c r="H179" s="4">
        <f t="shared" si="11"/>
        <v>0</v>
      </c>
    </row>
    <row r="180" spans="1:8" s="14" customFormat="1">
      <c r="A180" s="102" t="s">
        <v>204</v>
      </c>
      <c r="B180" s="82" t="s">
        <v>169</v>
      </c>
      <c r="C180" s="24">
        <f t="shared" ref="C180:C190" si="14">+D180+E180+F180</f>
        <v>0</v>
      </c>
      <c r="D180" s="20"/>
      <c r="E180" s="13"/>
      <c r="F180" s="16"/>
      <c r="H180" s="14">
        <f t="shared" si="11"/>
        <v>0</v>
      </c>
    </row>
    <row r="181" spans="1:8" s="14" customFormat="1">
      <c r="A181" s="102" t="s">
        <v>205</v>
      </c>
      <c r="B181" s="82" t="s">
        <v>170</v>
      </c>
      <c r="C181" s="24">
        <f t="shared" si="14"/>
        <v>0</v>
      </c>
      <c r="D181" s="20"/>
      <c r="E181" s="13"/>
      <c r="F181" s="16"/>
      <c r="H181" s="14">
        <f t="shared" si="11"/>
        <v>0</v>
      </c>
    </row>
    <row r="182" spans="1:8" s="14" customFormat="1">
      <c r="A182" s="102" t="s">
        <v>206</v>
      </c>
      <c r="B182" s="82" t="s">
        <v>171</v>
      </c>
      <c r="C182" s="24">
        <f t="shared" si="14"/>
        <v>0</v>
      </c>
      <c r="D182" s="20"/>
      <c r="E182" s="13"/>
      <c r="F182" s="16"/>
      <c r="H182" s="14">
        <f t="shared" si="11"/>
        <v>0</v>
      </c>
    </row>
    <row r="183" spans="1:8" s="14" customFormat="1">
      <c r="A183" s="102" t="s">
        <v>207</v>
      </c>
      <c r="B183" s="82" t="s">
        <v>172</v>
      </c>
      <c r="C183" s="24">
        <f t="shared" si="14"/>
        <v>0</v>
      </c>
      <c r="D183" s="20"/>
      <c r="E183" s="13"/>
      <c r="F183" s="16"/>
      <c r="H183" s="14">
        <f t="shared" si="11"/>
        <v>0</v>
      </c>
    </row>
    <row r="184" spans="1:8" s="140" customFormat="1">
      <c r="A184" s="127" t="s">
        <v>208</v>
      </c>
      <c r="B184" s="128" t="s">
        <v>173</v>
      </c>
      <c r="C184" s="134">
        <f t="shared" si="14"/>
        <v>0</v>
      </c>
      <c r="D184" s="807"/>
      <c r="E184" s="808"/>
      <c r="F184" s="809"/>
      <c r="H184" s="140">
        <f t="shared" si="11"/>
        <v>0</v>
      </c>
    </row>
    <row r="185" spans="1:8" s="140" customFormat="1">
      <c r="A185" s="102" t="s">
        <v>209</v>
      </c>
      <c r="B185" s="82" t="s">
        <v>178</v>
      </c>
      <c r="C185" s="134">
        <f t="shared" si="14"/>
        <v>0</v>
      </c>
      <c r="D185" s="807"/>
      <c r="E185" s="808"/>
      <c r="F185" s="809"/>
      <c r="H185" s="14">
        <f t="shared" si="11"/>
        <v>0</v>
      </c>
    </row>
    <row r="186" spans="1:8" s="140" customFormat="1">
      <c r="A186" s="102" t="s">
        <v>210</v>
      </c>
      <c r="B186" s="82" t="s">
        <v>174</v>
      </c>
      <c r="C186" s="134">
        <f t="shared" si="14"/>
        <v>0</v>
      </c>
      <c r="D186" s="807"/>
      <c r="E186" s="808"/>
      <c r="F186" s="809"/>
      <c r="H186" s="14">
        <f t="shared" si="11"/>
        <v>0</v>
      </c>
    </row>
    <row r="187" spans="1:8" s="140" customFormat="1">
      <c r="A187" s="102" t="s">
        <v>211</v>
      </c>
      <c r="B187" s="82" t="s">
        <v>175</v>
      </c>
      <c r="C187" s="134">
        <f t="shared" si="14"/>
        <v>0</v>
      </c>
      <c r="D187" s="807"/>
      <c r="E187" s="808"/>
      <c r="F187" s="809"/>
      <c r="H187" s="14">
        <f t="shared" si="11"/>
        <v>0</v>
      </c>
    </row>
    <row r="188" spans="1:8" s="140" customFormat="1">
      <c r="A188" s="102" t="s">
        <v>935</v>
      </c>
      <c r="B188" s="82" t="s">
        <v>937</v>
      </c>
      <c r="C188" s="134">
        <f>+D188+E188+F188</f>
        <v>0</v>
      </c>
      <c r="D188" s="807"/>
      <c r="E188" s="808"/>
      <c r="F188" s="809"/>
      <c r="H188" s="14">
        <f t="shared" si="11"/>
        <v>0</v>
      </c>
    </row>
    <row r="189" spans="1:8" s="141" customFormat="1">
      <c r="A189" s="101" t="s">
        <v>76</v>
      </c>
      <c r="B189" s="83" t="s">
        <v>176</v>
      </c>
      <c r="C189" s="129">
        <f t="shared" si="14"/>
        <v>0</v>
      </c>
      <c r="D189" s="1329"/>
      <c r="E189" s="1330"/>
      <c r="F189" s="1331"/>
      <c r="H189" s="4">
        <f t="shared" si="11"/>
        <v>0</v>
      </c>
    </row>
    <row r="190" spans="1:8" s="141" customFormat="1">
      <c r="A190" s="94" t="s">
        <v>77</v>
      </c>
      <c r="B190" s="84" t="s">
        <v>177</v>
      </c>
      <c r="C190" s="142">
        <f t="shared" si="14"/>
        <v>0</v>
      </c>
      <c r="D190" s="1332"/>
      <c r="E190" s="1333"/>
      <c r="F190" s="1334"/>
      <c r="H190" s="4">
        <f t="shared" si="11"/>
        <v>0</v>
      </c>
    </row>
    <row r="191" spans="1:8" s="141" customFormat="1" ht="12.75" thickBot="1">
      <c r="A191" s="94" t="s">
        <v>940</v>
      </c>
      <c r="B191" s="84" t="s">
        <v>938</v>
      </c>
      <c r="C191" s="142">
        <f>+D191+E191+F191</f>
        <v>0</v>
      </c>
      <c r="D191" s="1332"/>
      <c r="E191" s="1333"/>
      <c r="F191" s="1334"/>
      <c r="H191" s="4">
        <f t="shared" si="11"/>
        <v>0</v>
      </c>
    </row>
    <row r="192" spans="1:8" s="143" customFormat="1" ht="12.75" thickBot="1">
      <c r="A192" s="99" t="s">
        <v>44</v>
      </c>
      <c r="B192" s="85" t="s">
        <v>315</v>
      </c>
      <c r="C192" s="130">
        <f>+C193</f>
        <v>0</v>
      </c>
      <c r="D192" s="131">
        <f>+D193</f>
        <v>0</v>
      </c>
      <c r="E192" s="132">
        <f>+E193</f>
        <v>0</v>
      </c>
      <c r="F192" s="133">
        <f>+F193</f>
        <v>0</v>
      </c>
      <c r="H192" s="3">
        <f t="shared" si="11"/>
        <v>0</v>
      </c>
    </row>
    <row r="193" spans="1:8" s="143" customFormat="1" ht="12.75" thickBot="1">
      <c r="A193" s="99" t="s">
        <v>43</v>
      </c>
      <c r="B193" s="80" t="s">
        <v>936</v>
      </c>
      <c r="C193" s="44">
        <f>+C194+C204+C205+C206</f>
        <v>0</v>
      </c>
      <c r="D193" s="33">
        <f>+D194+D204+D205+D206</f>
        <v>0</v>
      </c>
      <c r="E193" s="34">
        <f>+E194+E204+E205+E206</f>
        <v>0</v>
      </c>
      <c r="F193" s="35">
        <f>+F194+F204+F205+F206</f>
        <v>0</v>
      </c>
      <c r="H193" s="3">
        <f t="shared" si="11"/>
        <v>0</v>
      </c>
    </row>
    <row r="194" spans="1:8" s="141" customFormat="1">
      <c r="A194" s="100" t="s">
        <v>78</v>
      </c>
      <c r="B194" s="81" t="s">
        <v>971</v>
      </c>
      <c r="C194" s="36">
        <f>+C195+C196+C197+C198+C199+C200+C201+C202+C203</f>
        <v>0</v>
      </c>
      <c r="D194" s="41">
        <f>+D195+D196+D197+D198+D199+D200+D201+D202+D203</f>
        <v>0</v>
      </c>
      <c r="E194" s="11">
        <f>+E195+E196+E197+E198+E199+E200+E201+E202+E203</f>
        <v>0</v>
      </c>
      <c r="F194" s="42">
        <f>+F195+F196+F197+F198+F199+F200+F201+F202+F203</f>
        <v>0</v>
      </c>
      <c r="H194" s="4">
        <f t="shared" si="11"/>
        <v>0</v>
      </c>
    </row>
    <row r="195" spans="1:8" s="140" customFormat="1">
      <c r="A195" s="102" t="s">
        <v>212</v>
      </c>
      <c r="B195" s="82" t="s">
        <v>169</v>
      </c>
      <c r="C195" s="134">
        <f t="shared" ref="C195:C205" si="15">+D195+E195+F195</f>
        <v>0</v>
      </c>
      <c r="D195" s="807"/>
      <c r="E195" s="808"/>
      <c r="F195" s="809"/>
      <c r="H195" s="14">
        <f t="shared" si="11"/>
        <v>0</v>
      </c>
    </row>
    <row r="196" spans="1:8" s="140" customFormat="1">
      <c r="A196" s="102" t="s">
        <v>213</v>
      </c>
      <c r="B196" s="82" t="s">
        <v>170</v>
      </c>
      <c r="C196" s="134">
        <f t="shared" si="15"/>
        <v>0</v>
      </c>
      <c r="D196" s="807"/>
      <c r="E196" s="808"/>
      <c r="F196" s="809"/>
      <c r="H196" s="14">
        <f t="shared" si="11"/>
        <v>0</v>
      </c>
    </row>
    <row r="197" spans="1:8" s="140" customFormat="1">
      <c r="A197" s="102" t="s">
        <v>214</v>
      </c>
      <c r="B197" s="82" t="s">
        <v>171</v>
      </c>
      <c r="C197" s="134">
        <f t="shared" si="15"/>
        <v>0</v>
      </c>
      <c r="D197" s="807"/>
      <c r="E197" s="808"/>
      <c r="F197" s="809"/>
      <c r="H197" s="14">
        <f t="shared" si="11"/>
        <v>0</v>
      </c>
    </row>
    <row r="198" spans="1:8" s="140" customFormat="1">
      <c r="A198" s="102" t="s">
        <v>215</v>
      </c>
      <c r="B198" s="82" t="s">
        <v>172</v>
      </c>
      <c r="C198" s="134">
        <f t="shared" si="15"/>
        <v>0</v>
      </c>
      <c r="D198" s="807"/>
      <c r="E198" s="808"/>
      <c r="F198" s="809"/>
      <c r="H198" s="14">
        <f t="shared" si="11"/>
        <v>0</v>
      </c>
    </row>
    <row r="199" spans="1:8" s="140" customFormat="1">
      <c r="A199" s="127" t="s">
        <v>216</v>
      </c>
      <c r="B199" s="128" t="s">
        <v>173</v>
      </c>
      <c r="C199" s="134">
        <f t="shared" si="15"/>
        <v>0</v>
      </c>
      <c r="D199" s="807"/>
      <c r="E199" s="808"/>
      <c r="F199" s="809"/>
      <c r="H199" s="140">
        <f t="shared" si="11"/>
        <v>0</v>
      </c>
    </row>
    <row r="200" spans="1:8" s="140" customFormat="1">
      <c r="A200" s="102" t="s">
        <v>217</v>
      </c>
      <c r="B200" s="82" t="s">
        <v>178</v>
      </c>
      <c r="C200" s="134">
        <f t="shared" si="15"/>
        <v>0</v>
      </c>
      <c r="D200" s="807"/>
      <c r="E200" s="808"/>
      <c r="F200" s="809"/>
      <c r="H200" s="14">
        <f t="shared" si="11"/>
        <v>0</v>
      </c>
    </row>
    <row r="201" spans="1:8" s="14" customFormat="1">
      <c r="A201" s="102" t="s">
        <v>218</v>
      </c>
      <c r="B201" s="82" t="s">
        <v>174</v>
      </c>
      <c r="C201" s="24">
        <f t="shared" si="15"/>
        <v>0</v>
      </c>
      <c r="D201" s="20"/>
      <c r="E201" s="13"/>
      <c r="F201" s="16"/>
      <c r="H201" s="14">
        <f t="shared" si="11"/>
        <v>0</v>
      </c>
    </row>
    <row r="202" spans="1:8" s="14" customFormat="1">
      <c r="A202" s="102" t="s">
        <v>219</v>
      </c>
      <c r="B202" s="82" t="s">
        <v>175</v>
      </c>
      <c r="C202" s="24">
        <f t="shared" si="15"/>
        <v>0</v>
      </c>
      <c r="D202" s="20"/>
      <c r="E202" s="13"/>
      <c r="F202" s="16"/>
      <c r="H202" s="14">
        <f t="shared" si="11"/>
        <v>0</v>
      </c>
    </row>
    <row r="203" spans="1:8" s="14" customFormat="1">
      <c r="A203" s="102" t="s">
        <v>935</v>
      </c>
      <c r="B203" s="82" t="s">
        <v>937</v>
      </c>
      <c r="C203" s="24">
        <f>+D203+E203+F203</f>
        <v>0</v>
      </c>
      <c r="D203" s="20"/>
      <c r="E203" s="13"/>
      <c r="F203" s="16"/>
      <c r="H203" s="14">
        <f t="shared" ref="H203:H242" si="16">+C203-D203-E203-F203</f>
        <v>0</v>
      </c>
    </row>
    <row r="204" spans="1:8">
      <c r="A204" s="101" t="s">
        <v>79</v>
      </c>
      <c r="B204" s="83" t="s">
        <v>176</v>
      </c>
      <c r="C204" s="23">
        <f t="shared" si="15"/>
        <v>0</v>
      </c>
      <c r="D204" s="21"/>
      <c r="E204" s="12"/>
      <c r="F204" s="17"/>
      <c r="H204" s="4">
        <f t="shared" si="16"/>
        <v>0</v>
      </c>
    </row>
    <row r="205" spans="1:8">
      <c r="A205" s="94" t="s">
        <v>220</v>
      </c>
      <c r="B205" s="84" t="s">
        <v>177</v>
      </c>
      <c r="C205" s="26">
        <f t="shared" si="15"/>
        <v>0</v>
      </c>
      <c r="D205" s="27"/>
      <c r="E205" s="28"/>
      <c r="F205" s="29"/>
      <c r="H205" s="4">
        <f t="shared" si="16"/>
        <v>0</v>
      </c>
    </row>
    <row r="206" spans="1:8" ht="12.75" thickBot="1">
      <c r="A206" s="94" t="s">
        <v>939</v>
      </c>
      <c r="B206" s="84" t="s">
        <v>938</v>
      </c>
      <c r="C206" s="26">
        <f>+D206+E206+F206</f>
        <v>0</v>
      </c>
      <c r="D206" s="27"/>
      <c r="E206" s="28"/>
      <c r="F206" s="29"/>
      <c r="H206" s="4">
        <f t="shared" si="16"/>
        <v>0</v>
      </c>
    </row>
    <row r="207" spans="1:8" s="3" customFormat="1" ht="12.75" thickBot="1">
      <c r="A207" s="99" t="s">
        <v>40</v>
      </c>
      <c r="B207" s="85" t="s">
        <v>316</v>
      </c>
      <c r="C207" s="44">
        <f>+C177+C192</f>
        <v>0</v>
      </c>
      <c r="D207" s="33">
        <f>+D177+D192</f>
        <v>0</v>
      </c>
      <c r="E207" s="34">
        <f>+E177+E192</f>
        <v>0</v>
      </c>
      <c r="F207" s="35">
        <f>+F177+F192</f>
        <v>0</v>
      </c>
      <c r="H207" s="3">
        <f t="shared" si="16"/>
        <v>0</v>
      </c>
    </row>
    <row r="208" spans="1:8" s="3" customFormat="1" ht="12.75" thickBot="1">
      <c r="A208" s="103" t="s">
        <v>39</v>
      </c>
      <c r="B208" s="87" t="s">
        <v>334</v>
      </c>
      <c r="C208" s="45">
        <f>+C176+C207</f>
        <v>406320</v>
      </c>
      <c r="D208" s="30">
        <f>+D176+D207</f>
        <v>366072</v>
      </c>
      <c r="E208" s="31">
        <f>+E176+E207</f>
        <v>40248</v>
      </c>
      <c r="F208" s="32">
        <f>+F176+F207</f>
        <v>0</v>
      </c>
      <c r="H208" s="3">
        <f t="shared" si="16"/>
        <v>0</v>
      </c>
    </row>
    <row r="211" spans="1:28" s="1" customFormat="1" ht="15.75">
      <c r="A211" s="1211" t="s">
        <v>89</v>
      </c>
      <c r="B211" s="1211"/>
      <c r="C211" s="1211"/>
      <c r="D211" s="1211"/>
      <c r="E211" s="1211"/>
      <c r="F211" s="121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s="46" customFormat="1" ht="12.75" thickBot="1">
      <c r="A212" s="48" t="s">
        <v>281</v>
      </c>
      <c r="F212" s="47" t="s">
        <v>280</v>
      </c>
    </row>
    <row r="213" spans="1:28" s="3" customFormat="1" ht="12.75" thickBot="1">
      <c r="A213" s="99" t="s">
        <v>4</v>
      </c>
      <c r="B213" s="85" t="s">
        <v>317</v>
      </c>
      <c r="C213" s="44">
        <f>+C214+C215</f>
        <v>-364861</v>
      </c>
      <c r="D213" s="33">
        <f>+D214+D215</f>
        <v>-356764</v>
      </c>
      <c r="E213" s="34">
        <f>+E214+E215</f>
        <v>-8097</v>
      </c>
      <c r="F213" s="35">
        <f>+F214+F215</f>
        <v>0</v>
      </c>
      <c r="H213" s="3">
        <f t="shared" si="16"/>
        <v>0</v>
      </c>
    </row>
    <row r="214" spans="1:28">
      <c r="A214" s="100" t="s">
        <v>81</v>
      </c>
      <c r="B214" s="88" t="s">
        <v>318</v>
      </c>
      <c r="C214" s="36">
        <f>+C10-C109</f>
        <v>-360861</v>
      </c>
      <c r="D214" s="41">
        <f>+D10-D109</f>
        <v>-352764</v>
      </c>
      <c r="E214" s="11">
        <f>+E10-E109</f>
        <v>-8097</v>
      </c>
      <c r="F214" s="42">
        <f>+F10-F109</f>
        <v>0</v>
      </c>
      <c r="H214" s="4">
        <f t="shared" si="16"/>
        <v>0</v>
      </c>
    </row>
    <row r="215" spans="1:28" ht="12.75" thickBot="1">
      <c r="A215" s="104" t="s">
        <v>82</v>
      </c>
      <c r="B215" s="89" t="s">
        <v>319</v>
      </c>
      <c r="C215" s="25">
        <f>+C50-C149</f>
        <v>-4000</v>
      </c>
      <c r="D215" s="51">
        <f>+D50-D149</f>
        <v>-4000</v>
      </c>
      <c r="E215" s="18">
        <f>+E50-E149</f>
        <v>0</v>
      </c>
      <c r="F215" s="50">
        <f>+F50-F149</f>
        <v>0</v>
      </c>
      <c r="H215" s="4">
        <f t="shared" si="16"/>
        <v>0</v>
      </c>
    </row>
    <row r="218" spans="1:28" s="1" customFormat="1" ht="15.75">
      <c r="A218" s="1211" t="s">
        <v>90</v>
      </c>
      <c r="B218" s="1211"/>
      <c r="C218" s="1211"/>
      <c r="D218" s="1211"/>
      <c r="E218" s="1211"/>
      <c r="F218" s="121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s="46" customFormat="1" ht="12.75" thickBot="1">
      <c r="A219" s="48" t="s">
        <v>282</v>
      </c>
      <c r="F219" s="47" t="s">
        <v>280</v>
      </c>
    </row>
    <row r="220" spans="1:28" s="3" customFormat="1" ht="12.75" thickBot="1">
      <c r="A220" s="99" t="s">
        <v>4</v>
      </c>
      <c r="B220" s="85" t="s">
        <v>320</v>
      </c>
      <c r="C220" s="44">
        <f>+C221+C228</f>
        <v>364861</v>
      </c>
      <c r="D220" s="33">
        <f>+D221+D228</f>
        <v>356764</v>
      </c>
      <c r="E220" s="34">
        <f>+E221+E228</f>
        <v>8097</v>
      </c>
      <c r="F220" s="35">
        <f>+F221+F228</f>
        <v>0</v>
      </c>
      <c r="H220" s="3">
        <f t="shared" si="16"/>
        <v>0</v>
      </c>
    </row>
    <row r="221" spans="1:28" s="3" customFormat="1" ht="12.75" thickBot="1">
      <c r="A221" s="99" t="s">
        <v>5</v>
      </c>
      <c r="B221" s="80" t="s">
        <v>321</v>
      </c>
      <c r="C221" s="44">
        <f>+C222-C225</f>
        <v>360861</v>
      </c>
      <c r="D221" s="33">
        <f>+D222-D225</f>
        <v>352764</v>
      </c>
      <c r="E221" s="34">
        <f>+E222-E225</f>
        <v>8097</v>
      </c>
      <c r="F221" s="35">
        <f>+F222-F225</f>
        <v>0</v>
      </c>
      <c r="H221" s="3">
        <f t="shared" si="16"/>
        <v>0</v>
      </c>
    </row>
    <row r="222" spans="1:28">
      <c r="A222" s="100" t="s">
        <v>54</v>
      </c>
      <c r="B222" s="81" t="s">
        <v>322</v>
      </c>
      <c r="C222" s="36">
        <f>+C223+C224</f>
        <v>360861</v>
      </c>
      <c r="D222" s="41">
        <f>+D223+D224</f>
        <v>352764</v>
      </c>
      <c r="E222" s="11">
        <f>+E223+E224</f>
        <v>8097</v>
      </c>
      <c r="F222" s="42">
        <f>+F223+F224</f>
        <v>0</v>
      </c>
      <c r="H222" s="4">
        <f t="shared" si="16"/>
        <v>0</v>
      </c>
    </row>
    <row r="223" spans="1:28" s="14" customFormat="1">
      <c r="A223" s="102" t="s">
        <v>189</v>
      </c>
      <c r="B223" s="82" t="s">
        <v>284</v>
      </c>
      <c r="C223" s="24">
        <f>+C76+C80</f>
        <v>0</v>
      </c>
      <c r="D223" s="20">
        <f>+D76+D80</f>
        <v>0</v>
      </c>
      <c r="E223" s="13">
        <f>+E76+E80</f>
        <v>0</v>
      </c>
      <c r="F223" s="16">
        <f>+F76+F80</f>
        <v>0</v>
      </c>
      <c r="H223" s="14">
        <f t="shared" si="16"/>
        <v>0</v>
      </c>
    </row>
    <row r="224" spans="1:28" s="14" customFormat="1">
      <c r="A224" s="102" t="s">
        <v>190</v>
      </c>
      <c r="B224" s="82" t="s">
        <v>285</v>
      </c>
      <c r="C224" s="24">
        <f>+C74+C75+C77+C78+C79+C81</f>
        <v>360861</v>
      </c>
      <c r="D224" s="20">
        <f>+D74+D75+D77+D78+D79+D81</f>
        <v>352764</v>
      </c>
      <c r="E224" s="13">
        <f>+E74+E75+E77+E78+E79+E81</f>
        <v>8097</v>
      </c>
      <c r="F224" s="16">
        <f>+F74+F75+F77+F78+F79+F81</f>
        <v>0</v>
      </c>
      <c r="H224" s="14">
        <f t="shared" si="16"/>
        <v>0</v>
      </c>
    </row>
    <row r="225" spans="1:28">
      <c r="A225" s="101" t="s">
        <v>55</v>
      </c>
      <c r="B225" s="83" t="s">
        <v>323</v>
      </c>
      <c r="C225" s="23">
        <f>+C227</f>
        <v>0</v>
      </c>
      <c r="D225" s="21">
        <f>+D227</f>
        <v>0</v>
      </c>
      <c r="E225" s="12">
        <f>+E227</f>
        <v>0</v>
      </c>
      <c r="F225" s="17">
        <f>+F227</f>
        <v>0</v>
      </c>
      <c r="H225" s="4">
        <f t="shared" si="16"/>
        <v>0</v>
      </c>
    </row>
    <row r="226" spans="1:28" s="14" customFormat="1">
      <c r="A226" s="102" t="s">
        <v>56</v>
      </c>
      <c r="B226" s="82" t="s">
        <v>286</v>
      </c>
      <c r="C226" s="24">
        <f>+C185</f>
        <v>0</v>
      </c>
      <c r="D226" s="20">
        <f>+D185</f>
        <v>0</v>
      </c>
      <c r="E226" s="13">
        <f>+E185</f>
        <v>0</v>
      </c>
      <c r="F226" s="16">
        <f>+F185</f>
        <v>0</v>
      </c>
      <c r="H226" s="14">
        <f t="shared" si="16"/>
        <v>0</v>
      </c>
    </row>
    <row r="227" spans="1:28" s="14" customFormat="1" ht="12.75" thickBot="1">
      <c r="A227" s="105" t="s">
        <v>57</v>
      </c>
      <c r="B227" s="90" t="s">
        <v>287</v>
      </c>
      <c r="C227" s="58">
        <f>+C180+C181+C182+C183+C184+C186+C187</f>
        <v>0</v>
      </c>
      <c r="D227" s="56">
        <f>+D180+D181+D182+D183+D184+D186+D187</f>
        <v>0</v>
      </c>
      <c r="E227" s="54">
        <f>+E180+E181+E182+E183+E184+E186+E187</f>
        <v>0</v>
      </c>
      <c r="F227" s="55">
        <f>+F180+F181+F182+F183+F184+F186+F187</f>
        <v>0</v>
      </c>
      <c r="H227" s="14">
        <f t="shared" si="16"/>
        <v>0</v>
      </c>
    </row>
    <row r="228" spans="1:28" s="3" customFormat="1" ht="12.75" thickBot="1">
      <c r="A228" s="99" t="s">
        <v>6</v>
      </c>
      <c r="B228" s="80" t="s">
        <v>324</v>
      </c>
      <c r="C228" s="44">
        <f>+C229-C232</f>
        <v>4000</v>
      </c>
      <c r="D228" s="33">
        <f>+D229-D232</f>
        <v>4000</v>
      </c>
      <c r="E228" s="34">
        <f>+E229-E232</f>
        <v>0</v>
      </c>
      <c r="F228" s="35">
        <f>+F229-F232</f>
        <v>0</v>
      </c>
      <c r="H228" s="3">
        <f t="shared" si="16"/>
        <v>0</v>
      </c>
    </row>
    <row r="229" spans="1:28">
      <c r="A229" s="100" t="s">
        <v>58</v>
      </c>
      <c r="B229" s="81" t="s">
        <v>325</v>
      </c>
      <c r="C229" s="36">
        <f>+C230+C231</f>
        <v>4000</v>
      </c>
      <c r="D229" s="41">
        <f>+D230+D231</f>
        <v>4000</v>
      </c>
      <c r="E229" s="11">
        <f>+E230+E231</f>
        <v>0</v>
      </c>
      <c r="F229" s="42">
        <f>+F230+F231</f>
        <v>0</v>
      </c>
      <c r="H229" s="4">
        <f t="shared" si="16"/>
        <v>0</v>
      </c>
    </row>
    <row r="230" spans="1:28" s="14" customFormat="1">
      <c r="A230" s="102" t="s">
        <v>292</v>
      </c>
      <c r="B230" s="82" t="s">
        <v>290</v>
      </c>
      <c r="C230" s="24">
        <f>+C91+C95</f>
        <v>0</v>
      </c>
      <c r="D230" s="20">
        <f>+D91+D95</f>
        <v>0</v>
      </c>
      <c r="E230" s="13">
        <f>+E91+E95</f>
        <v>0</v>
      </c>
      <c r="F230" s="16">
        <f>+F91+F95</f>
        <v>0</v>
      </c>
      <c r="H230" s="14">
        <f t="shared" si="16"/>
        <v>0</v>
      </c>
    </row>
    <row r="231" spans="1:28" s="14" customFormat="1">
      <c r="A231" s="102" t="s">
        <v>293</v>
      </c>
      <c r="B231" s="82" t="s">
        <v>291</v>
      </c>
      <c r="C231" s="24">
        <f>+C89+C90+C92+C93+C94+C96</f>
        <v>4000</v>
      </c>
      <c r="D231" s="20">
        <f>+D89+D90+D92+D93+D94+D96</f>
        <v>4000</v>
      </c>
      <c r="E231" s="13">
        <f>+E89+E90+E92+E93+E94+E96</f>
        <v>0</v>
      </c>
      <c r="F231" s="16">
        <f>+F89+F90+F92+F93+F94+F96</f>
        <v>0</v>
      </c>
      <c r="H231" s="14">
        <f t="shared" si="16"/>
        <v>0</v>
      </c>
    </row>
    <row r="232" spans="1:28">
      <c r="A232" s="101" t="s">
        <v>59</v>
      </c>
      <c r="B232" s="83" t="s">
        <v>326</v>
      </c>
      <c r="C232" s="23">
        <f>+C233+C234</f>
        <v>0</v>
      </c>
      <c r="D232" s="21">
        <f>+D233+D234</f>
        <v>0</v>
      </c>
      <c r="E232" s="12">
        <f>+E233+E234</f>
        <v>0</v>
      </c>
      <c r="F232" s="17">
        <f>+F233+F234</f>
        <v>0</v>
      </c>
      <c r="H232" s="4">
        <f t="shared" si="16"/>
        <v>0</v>
      </c>
    </row>
    <row r="233" spans="1:28" s="14" customFormat="1">
      <c r="A233" s="102" t="s">
        <v>294</v>
      </c>
      <c r="B233" s="82" t="s">
        <v>288</v>
      </c>
      <c r="C233" s="24">
        <f>+C200</f>
        <v>0</v>
      </c>
      <c r="D233" s="20">
        <f>+D200</f>
        <v>0</v>
      </c>
      <c r="E233" s="13">
        <f>+E200</f>
        <v>0</v>
      </c>
      <c r="F233" s="16">
        <f>+F200</f>
        <v>0</v>
      </c>
      <c r="H233" s="14">
        <f t="shared" si="16"/>
        <v>0</v>
      </c>
    </row>
    <row r="234" spans="1:28" s="14" customFormat="1" ht="12.75" thickBot="1">
      <c r="A234" s="106" t="s">
        <v>295</v>
      </c>
      <c r="B234" s="91" t="s">
        <v>289</v>
      </c>
      <c r="C234" s="59">
        <f>+C195+C196+C197+C198+C199+C201+C202</f>
        <v>0</v>
      </c>
      <c r="D234" s="57">
        <f>+D195+D196+D197+D198+D199+D201+D202</f>
        <v>0</v>
      </c>
      <c r="E234" s="52">
        <f>+E195+E196+E197+E198+E199+E201+E202</f>
        <v>0</v>
      </c>
      <c r="F234" s="53">
        <f>+F195+F196+F197+F198+F199+F201+F202</f>
        <v>0</v>
      </c>
      <c r="H234" s="14">
        <f t="shared" si="16"/>
        <v>0</v>
      </c>
    </row>
    <row r="237" spans="1:28" s="1" customFormat="1" ht="15.75">
      <c r="A237" s="1211" t="s">
        <v>1460</v>
      </c>
      <c r="B237" s="1211"/>
      <c r="C237" s="1211"/>
      <c r="D237" s="1211"/>
      <c r="E237" s="1211"/>
      <c r="F237" s="121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spans="1:28" s="46" customFormat="1" ht="12.75" thickBot="1">
      <c r="A238" s="48" t="s">
        <v>283</v>
      </c>
      <c r="F238" s="47"/>
    </row>
    <row r="239" spans="1:28" s="3" customFormat="1">
      <c r="A239" s="107" t="s">
        <v>4</v>
      </c>
      <c r="B239" s="92" t="s">
        <v>91</v>
      </c>
      <c r="C239" s="67">
        <f>+D239+E239+F239</f>
        <v>92</v>
      </c>
      <c r="D239" s="68">
        <v>86</v>
      </c>
      <c r="E239" s="69">
        <v>6</v>
      </c>
      <c r="F239" s="70"/>
      <c r="H239" s="3">
        <f t="shared" si="16"/>
        <v>0</v>
      </c>
    </row>
    <row r="240" spans="1:28" s="14" customFormat="1">
      <c r="A240" s="105" t="s">
        <v>350</v>
      </c>
      <c r="B240" s="116" t="s">
        <v>351</v>
      </c>
      <c r="C240" s="117">
        <f>+D240+E240+F240</f>
        <v>0</v>
      </c>
      <c r="D240" s="118"/>
      <c r="E240" s="119"/>
      <c r="F240" s="120"/>
      <c r="H240" s="14">
        <f t="shared" si="16"/>
        <v>0</v>
      </c>
    </row>
    <row r="241" spans="1:8" s="3" customFormat="1" ht="12.75" thickBot="1">
      <c r="A241" s="108" t="s">
        <v>5</v>
      </c>
      <c r="B241" s="93" t="s">
        <v>92</v>
      </c>
      <c r="C241" s="71">
        <f>+D241+E241+F241</f>
        <v>0</v>
      </c>
      <c r="D241" s="72"/>
      <c r="E241" s="73"/>
      <c r="F241" s="74"/>
      <c r="H241" s="3">
        <f t="shared" si="16"/>
        <v>0</v>
      </c>
    </row>
    <row r="242" spans="1:8" s="3" customFormat="1" ht="12.75" thickBot="1">
      <c r="A242" s="99" t="s">
        <v>6</v>
      </c>
      <c r="B242" s="85" t="s">
        <v>329</v>
      </c>
      <c r="C242" s="75">
        <f>+C239+C241</f>
        <v>92</v>
      </c>
      <c r="D242" s="76">
        <f>+D239+D241</f>
        <v>86</v>
      </c>
      <c r="E242" s="77">
        <f>+E239+E241</f>
        <v>6</v>
      </c>
      <c r="F242" s="78">
        <f>+F239+F241</f>
        <v>0</v>
      </c>
      <c r="H242" s="3">
        <f t="shared" si="16"/>
        <v>0</v>
      </c>
    </row>
  </sheetData>
  <mergeCells count="9">
    <mergeCell ref="A211:F211"/>
    <mergeCell ref="A218:F218"/>
    <mergeCell ref="A237:F237"/>
    <mergeCell ref="A3:F3"/>
    <mergeCell ref="A4:F4"/>
    <mergeCell ref="A6:F6"/>
    <mergeCell ref="C9:F9"/>
    <mergeCell ref="A105:F105"/>
    <mergeCell ref="C108:F108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44" fitToHeight="2" orientation="portrait" r:id="rId1"/>
  <headerFooter>
    <oddHeader>&amp;C 1.2. melléklet - &amp;P. oldal</oddHeader>
  </headerFooter>
  <rowBreaks count="1" manualBreakCount="1">
    <brk id="104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 codeName="Munka11">
    <tabColor rgb="FF00B0F0"/>
  </sheetPr>
  <dimension ref="A1:AB242"/>
  <sheetViews>
    <sheetView zoomScaleNormal="100" workbookViewId="0"/>
  </sheetViews>
  <sheetFormatPr defaultColWidth="9.140625" defaultRowHeight="12"/>
  <cols>
    <col min="1" max="1" width="6.5703125" style="4" customWidth="1"/>
    <col min="2" max="2" width="109.5703125" style="4" bestFit="1" customWidth="1"/>
    <col min="3" max="6" width="9.28515625" style="4" customWidth="1"/>
    <col min="7" max="7" width="9.140625" style="4"/>
    <col min="8" max="8" width="9.140625" style="4" hidden="1" customWidth="1"/>
    <col min="9" max="16384" width="9.140625" style="4"/>
  </cols>
  <sheetData>
    <row r="1" spans="1:8" s="63" customFormat="1" ht="15.75">
      <c r="F1" s="64" t="s">
        <v>355</v>
      </c>
    </row>
    <row r="2" spans="1:8" s="63" customFormat="1" ht="15.75"/>
    <row r="3" spans="1:8" s="65" customFormat="1" ht="15.75">
      <c r="A3" s="1210" t="s">
        <v>356</v>
      </c>
      <c r="B3" s="1210"/>
      <c r="C3" s="1210"/>
      <c r="D3" s="1210"/>
      <c r="E3" s="1210"/>
      <c r="F3" s="1210"/>
    </row>
    <row r="4" spans="1:8" s="65" customFormat="1" ht="15.75">
      <c r="A4" s="1210" t="s">
        <v>1444</v>
      </c>
      <c r="B4" s="1210"/>
      <c r="C4" s="1210"/>
      <c r="D4" s="1210"/>
      <c r="E4" s="1210"/>
      <c r="F4" s="1210"/>
    </row>
    <row r="5" spans="1:8" s="63" customFormat="1" ht="15.75"/>
    <row r="6" spans="1:8" s="65" customFormat="1" ht="15.75">
      <c r="A6" s="1210" t="s">
        <v>48</v>
      </c>
      <c r="B6" s="1210"/>
      <c r="C6" s="1210"/>
      <c r="D6" s="1210"/>
      <c r="E6" s="1210"/>
      <c r="F6" s="1210"/>
    </row>
    <row r="7" spans="1:8" s="46" customFormat="1" ht="12.75" thickBot="1">
      <c r="A7" s="48" t="s">
        <v>279</v>
      </c>
      <c r="F7" s="47" t="s">
        <v>280</v>
      </c>
    </row>
    <row r="8" spans="1:8" s="9" customFormat="1" ht="48.75" thickBot="1">
      <c r="A8" s="95" t="s">
        <v>17</v>
      </c>
      <c r="B8" s="109" t="s">
        <v>327</v>
      </c>
      <c r="C8" s="5" t="s">
        <v>1442</v>
      </c>
      <c r="D8" s="6" t="s">
        <v>51</v>
      </c>
      <c r="E8" s="7" t="s">
        <v>52</v>
      </c>
      <c r="F8" s="8" t="s">
        <v>53</v>
      </c>
    </row>
    <row r="9" spans="1:8" s="3" customFormat="1" ht="12.75" thickBot="1">
      <c r="A9" s="99" t="s">
        <v>252</v>
      </c>
      <c r="B9" s="110" t="s">
        <v>253</v>
      </c>
      <c r="C9" s="1218" t="s">
        <v>254</v>
      </c>
      <c r="D9" s="1219"/>
      <c r="E9" s="1219"/>
      <c r="F9" s="1220"/>
    </row>
    <row r="10" spans="1:8" s="3" customFormat="1" ht="12.75" thickBot="1">
      <c r="A10" s="111" t="s">
        <v>4</v>
      </c>
      <c r="B10" s="79" t="s">
        <v>296</v>
      </c>
      <c r="C10" s="43">
        <f>+C11+C25+C32+C44</f>
        <v>21571</v>
      </c>
      <c r="D10" s="38">
        <f>+D11+D25+D32+D44</f>
        <v>21571</v>
      </c>
      <c r="E10" s="39">
        <f>+E11+E25+E32+E44</f>
        <v>0</v>
      </c>
      <c r="F10" s="40">
        <f>+F11+F25+F32+F44</f>
        <v>0</v>
      </c>
      <c r="H10" s="3">
        <f>+C10-D10-E10-F10</f>
        <v>0</v>
      </c>
    </row>
    <row r="11" spans="1:8" s="3" customFormat="1" ht="12.75" thickBot="1">
      <c r="A11" s="99" t="s">
        <v>5</v>
      </c>
      <c r="B11" s="80" t="s">
        <v>297</v>
      </c>
      <c r="C11" s="44">
        <f>+C12+C19+C20+C21+C22+C23</f>
        <v>0</v>
      </c>
      <c r="D11" s="33">
        <f>+D12+D19+D20+D21+D22+D23</f>
        <v>0</v>
      </c>
      <c r="E11" s="34">
        <f>+E12+E19+E20+E21+E22+E23</f>
        <v>0</v>
      </c>
      <c r="F11" s="35">
        <f>+F12+F19+F20+F21+F22+F23</f>
        <v>0</v>
      </c>
      <c r="H11" s="3">
        <f t="shared" ref="H11:H74" si="0">+C11-D11-E11-F11</f>
        <v>0</v>
      </c>
    </row>
    <row r="12" spans="1:8" s="3" customFormat="1">
      <c r="A12" s="100" t="s">
        <v>54</v>
      </c>
      <c r="B12" s="81" t="s">
        <v>298</v>
      </c>
      <c r="C12" s="36">
        <f>+C13+C14+C15+C16+C17+C18</f>
        <v>0</v>
      </c>
      <c r="D12" s="19">
        <f>+D13+D14+D15+D16+D17+D18</f>
        <v>0</v>
      </c>
      <c r="E12" s="10">
        <f>+E13+E14+E15+E16+E17+E18</f>
        <v>0</v>
      </c>
      <c r="F12" s="15">
        <f>+F13+F14+F15+F16+F17+F18</f>
        <v>0</v>
      </c>
      <c r="H12" s="4">
        <f t="shared" si="0"/>
        <v>0</v>
      </c>
    </row>
    <row r="13" spans="1:8" s="14" customFormat="1">
      <c r="A13" s="102" t="s">
        <v>189</v>
      </c>
      <c r="B13" s="82" t="s">
        <v>93</v>
      </c>
      <c r="C13" s="24">
        <f>+D13+E13+F13</f>
        <v>0</v>
      </c>
      <c r="D13" s="20"/>
      <c r="E13" s="13"/>
      <c r="F13" s="16"/>
      <c r="H13" s="14">
        <f t="shared" si="0"/>
        <v>0</v>
      </c>
    </row>
    <row r="14" spans="1:8" s="14" customFormat="1">
      <c r="A14" s="102" t="s">
        <v>190</v>
      </c>
      <c r="B14" s="82" t="s">
        <v>94</v>
      </c>
      <c r="C14" s="24">
        <f t="shared" ref="C14:C24" si="1">+D14+E14+F14</f>
        <v>0</v>
      </c>
      <c r="D14" s="20"/>
      <c r="E14" s="13"/>
      <c r="F14" s="16"/>
      <c r="H14" s="14">
        <f t="shared" si="0"/>
        <v>0</v>
      </c>
    </row>
    <row r="15" spans="1:8" s="14" customFormat="1">
      <c r="A15" s="102" t="s">
        <v>191</v>
      </c>
      <c r="B15" s="82" t="s">
        <v>95</v>
      </c>
      <c r="C15" s="24">
        <f t="shared" si="1"/>
        <v>0</v>
      </c>
      <c r="D15" s="20"/>
      <c r="E15" s="13"/>
      <c r="F15" s="16"/>
      <c r="H15" s="14">
        <f t="shared" si="0"/>
        <v>0</v>
      </c>
    </row>
    <row r="16" spans="1:8" s="14" customFormat="1">
      <c r="A16" s="102" t="s">
        <v>192</v>
      </c>
      <c r="B16" s="82" t="s">
        <v>96</v>
      </c>
      <c r="C16" s="24">
        <f t="shared" si="1"/>
        <v>0</v>
      </c>
      <c r="D16" s="20"/>
      <c r="E16" s="13"/>
      <c r="F16" s="16"/>
      <c r="H16" s="14">
        <f t="shared" si="0"/>
        <v>0</v>
      </c>
    </row>
    <row r="17" spans="1:8" s="14" customFormat="1">
      <c r="A17" s="102" t="s">
        <v>193</v>
      </c>
      <c r="B17" s="82" t="s">
        <v>895</v>
      </c>
      <c r="C17" s="24">
        <f t="shared" si="1"/>
        <v>0</v>
      </c>
      <c r="D17" s="20"/>
      <c r="E17" s="13"/>
      <c r="F17" s="16"/>
      <c r="H17" s="14">
        <f t="shared" si="0"/>
        <v>0</v>
      </c>
    </row>
    <row r="18" spans="1:8" s="14" customFormat="1">
      <c r="A18" s="102" t="s">
        <v>194</v>
      </c>
      <c r="B18" s="82" t="s">
        <v>896</v>
      </c>
      <c r="C18" s="24">
        <f t="shared" si="1"/>
        <v>0</v>
      </c>
      <c r="D18" s="20"/>
      <c r="E18" s="13"/>
      <c r="F18" s="16"/>
      <c r="H18" s="14">
        <f t="shared" si="0"/>
        <v>0</v>
      </c>
    </row>
    <row r="19" spans="1:8">
      <c r="A19" s="101" t="s">
        <v>55</v>
      </c>
      <c r="B19" s="83" t="s">
        <v>97</v>
      </c>
      <c r="C19" s="23">
        <f t="shared" si="1"/>
        <v>0</v>
      </c>
      <c r="D19" s="21"/>
      <c r="E19" s="12"/>
      <c r="F19" s="17"/>
      <c r="H19" s="4">
        <f t="shared" si="0"/>
        <v>0</v>
      </c>
    </row>
    <row r="20" spans="1:8">
      <c r="A20" s="101" t="s">
        <v>83</v>
      </c>
      <c r="B20" s="83" t="s">
        <v>98</v>
      </c>
      <c r="C20" s="23">
        <f t="shared" si="1"/>
        <v>0</v>
      </c>
      <c r="D20" s="21"/>
      <c r="E20" s="12"/>
      <c r="F20" s="17"/>
      <c r="H20" s="4">
        <f t="shared" si="0"/>
        <v>0</v>
      </c>
    </row>
    <row r="21" spans="1:8">
      <c r="A21" s="101" t="s">
        <v>84</v>
      </c>
      <c r="B21" s="83" t="s">
        <v>99</v>
      </c>
      <c r="C21" s="23">
        <f t="shared" si="1"/>
        <v>0</v>
      </c>
      <c r="D21" s="21"/>
      <c r="E21" s="12"/>
      <c r="F21" s="17"/>
      <c r="H21" s="4">
        <f t="shared" si="0"/>
        <v>0</v>
      </c>
    </row>
    <row r="22" spans="1:8">
      <c r="A22" s="101" t="s">
        <v>85</v>
      </c>
      <c r="B22" s="83" t="s">
        <v>100</v>
      </c>
      <c r="C22" s="23">
        <f t="shared" si="1"/>
        <v>0</v>
      </c>
      <c r="D22" s="21"/>
      <c r="E22" s="12"/>
      <c r="F22" s="17"/>
      <c r="H22" s="4">
        <f t="shared" si="0"/>
        <v>0</v>
      </c>
    </row>
    <row r="23" spans="1:8">
      <c r="A23" s="94" t="s">
        <v>86</v>
      </c>
      <c r="B23" s="84" t="s">
        <v>101</v>
      </c>
      <c r="C23" s="26">
        <f t="shared" si="1"/>
        <v>0</v>
      </c>
      <c r="D23" s="27"/>
      <c r="E23" s="28"/>
      <c r="F23" s="29"/>
      <c r="H23" s="4">
        <f t="shared" si="0"/>
        <v>0</v>
      </c>
    </row>
    <row r="24" spans="1:8" s="14" customFormat="1" ht="12.75" thickBot="1">
      <c r="A24" s="105" t="s">
        <v>331</v>
      </c>
      <c r="B24" s="894" t="s">
        <v>332</v>
      </c>
      <c r="C24" s="58">
        <f t="shared" si="1"/>
        <v>0</v>
      </c>
      <c r="D24" s="56"/>
      <c r="E24" s="54"/>
      <c r="F24" s="55"/>
      <c r="H24" s="14">
        <f t="shared" si="0"/>
        <v>0</v>
      </c>
    </row>
    <row r="25" spans="1:8" s="3" customFormat="1" ht="12.75" thickBot="1">
      <c r="A25" s="99" t="s">
        <v>6</v>
      </c>
      <c r="B25" s="80" t="s">
        <v>778</v>
      </c>
      <c r="C25" s="44">
        <f>+C26+C27+C28+C29+C30+C31</f>
        <v>0</v>
      </c>
      <c r="D25" s="33">
        <f>+D26+D27+D28+D29+D30+D31</f>
        <v>0</v>
      </c>
      <c r="E25" s="34">
        <f>+E26+E27+E28+E29+E30+E31</f>
        <v>0</v>
      </c>
      <c r="F25" s="35">
        <f>+F26+F27+F28+F29+F30+F31</f>
        <v>0</v>
      </c>
      <c r="H25" s="3">
        <f t="shared" si="0"/>
        <v>0</v>
      </c>
    </row>
    <row r="26" spans="1:8">
      <c r="A26" s="100" t="s">
        <v>58</v>
      </c>
      <c r="B26" s="81" t="s">
        <v>102</v>
      </c>
      <c r="C26" s="36">
        <f t="shared" ref="C26:C31" si="2">+D26+E26+F26</f>
        <v>0</v>
      </c>
      <c r="D26" s="41"/>
      <c r="E26" s="11"/>
      <c r="F26" s="42"/>
      <c r="H26" s="4">
        <f t="shared" si="0"/>
        <v>0</v>
      </c>
    </row>
    <row r="27" spans="1:8">
      <c r="A27" s="101" t="s">
        <v>59</v>
      </c>
      <c r="B27" s="83" t="s">
        <v>103</v>
      </c>
      <c r="C27" s="23">
        <f t="shared" si="2"/>
        <v>0</v>
      </c>
      <c r="D27" s="21"/>
      <c r="E27" s="12"/>
      <c r="F27" s="17"/>
      <c r="H27" s="4">
        <f t="shared" si="0"/>
        <v>0</v>
      </c>
    </row>
    <row r="28" spans="1:8">
      <c r="A28" s="101" t="s">
        <v>60</v>
      </c>
      <c r="B28" s="83" t="s">
        <v>104</v>
      </c>
      <c r="C28" s="23">
        <f t="shared" si="2"/>
        <v>0</v>
      </c>
      <c r="D28" s="21"/>
      <c r="E28" s="12"/>
      <c r="F28" s="17"/>
      <c r="H28" s="4">
        <f t="shared" si="0"/>
        <v>0</v>
      </c>
    </row>
    <row r="29" spans="1:8">
      <c r="A29" s="101" t="s">
        <v>179</v>
      </c>
      <c r="B29" s="83" t="s">
        <v>105</v>
      </c>
      <c r="C29" s="23">
        <f t="shared" si="2"/>
        <v>0</v>
      </c>
      <c r="D29" s="21"/>
      <c r="E29" s="12"/>
      <c r="F29" s="17"/>
      <c r="H29" s="4">
        <f t="shared" si="0"/>
        <v>0</v>
      </c>
    </row>
    <row r="30" spans="1:8">
      <c r="A30" s="94" t="s">
        <v>180</v>
      </c>
      <c r="B30" s="84" t="s">
        <v>106</v>
      </c>
      <c r="C30" s="26">
        <f t="shared" si="2"/>
        <v>0</v>
      </c>
      <c r="D30" s="21"/>
      <c r="E30" s="12"/>
      <c r="F30" s="17"/>
      <c r="H30" s="4">
        <f t="shared" si="0"/>
        <v>0</v>
      </c>
    </row>
    <row r="31" spans="1:8" ht="12.75" thickBot="1">
      <c r="A31" s="94" t="s">
        <v>777</v>
      </c>
      <c r="B31" s="84" t="s">
        <v>779</v>
      </c>
      <c r="C31" s="26">
        <f t="shared" si="2"/>
        <v>0</v>
      </c>
      <c r="D31" s="21"/>
      <c r="E31" s="12"/>
      <c r="F31" s="17"/>
      <c r="H31" s="4">
        <f t="shared" si="0"/>
        <v>0</v>
      </c>
    </row>
    <row r="32" spans="1:8" s="3" customFormat="1" ht="12.75" thickBot="1">
      <c r="A32" s="99" t="s">
        <v>3</v>
      </c>
      <c r="B32" s="80" t="s">
        <v>968</v>
      </c>
      <c r="C32" s="44">
        <f>+C33+C34+C35+C36+C37+C38+C39+C40+C41+C42+C43</f>
        <v>21571</v>
      </c>
      <c r="D32" s="33">
        <f>+D33+D34+D35+D36+D37+D38+D39+D40+D41+D42+D43</f>
        <v>21571</v>
      </c>
      <c r="E32" s="34">
        <f>+E33+E34+E35+E36+E37+E38+E39+E40+E41+E42+E43</f>
        <v>0</v>
      </c>
      <c r="F32" s="35">
        <f>+F33+F34+F35+F36+F37+F38+F39+F40+F41+F42+F43</f>
        <v>0</v>
      </c>
      <c r="H32" s="3">
        <f t="shared" si="0"/>
        <v>0</v>
      </c>
    </row>
    <row r="33" spans="1:8">
      <c r="A33" s="100" t="s">
        <v>61</v>
      </c>
      <c r="B33" s="81" t="s">
        <v>1585</v>
      </c>
      <c r="C33" s="36">
        <f t="shared" ref="C33:C43" si="3">+D33+E33+F33</f>
        <v>0</v>
      </c>
      <c r="D33" s="41"/>
      <c r="E33" s="11"/>
      <c r="F33" s="42"/>
      <c r="H33" s="4">
        <f t="shared" si="0"/>
        <v>0</v>
      </c>
    </row>
    <row r="34" spans="1:8">
      <c r="A34" s="101" t="s">
        <v>62</v>
      </c>
      <c r="B34" s="83" t="s">
        <v>107</v>
      </c>
      <c r="C34" s="23">
        <f t="shared" si="3"/>
        <v>4724</v>
      </c>
      <c r="D34" s="21">
        <v>4724</v>
      </c>
      <c r="E34" s="12"/>
      <c r="F34" s="17"/>
      <c r="H34" s="4">
        <f t="shared" si="0"/>
        <v>0</v>
      </c>
    </row>
    <row r="35" spans="1:8">
      <c r="A35" s="101" t="s">
        <v>63</v>
      </c>
      <c r="B35" s="83" t="s">
        <v>108</v>
      </c>
      <c r="C35" s="23">
        <f t="shared" si="3"/>
        <v>2000</v>
      </c>
      <c r="D35" s="21">
        <v>2000</v>
      </c>
      <c r="E35" s="12"/>
      <c r="F35" s="17"/>
      <c r="H35" s="4">
        <f t="shared" si="0"/>
        <v>0</v>
      </c>
    </row>
    <row r="36" spans="1:8">
      <c r="A36" s="101" t="s">
        <v>64</v>
      </c>
      <c r="B36" s="83" t="s">
        <v>109</v>
      </c>
      <c r="C36" s="23">
        <f t="shared" si="3"/>
        <v>0</v>
      </c>
      <c r="D36" s="21"/>
      <c r="E36" s="12"/>
      <c r="F36" s="17"/>
      <c r="H36" s="4">
        <f t="shared" si="0"/>
        <v>0</v>
      </c>
    </row>
    <row r="37" spans="1:8">
      <c r="A37" s="101" t="s">
        <v>65</v>
      </c>
      <c r="B37" s="83" t="s">
        <v>110</v>
      </c>
      <c r="C37" s="23">
        <f t="shared" si="3"/>
        <v>9645</v>
      </c>
      <c r="D37" s="21">
        <v>9645</v>
      </c>
      <c r="E37" s="12"/>
      <c r="F37" s="17"/>
      <c r="H37" s="4">
        <f t="shared" si="0"/>
        <v>0</v>
      </c>
    </row>
    <row r="38" spans="1:8">
      <c r="A38" s="101" t="s">
        <v>221</v>
      </c>
      <c r="B38" s="83" t="s">
        <v>111</v>
      </c>
      <c r="C38" s="23">
        <f t="shared" si="3"/>
        <v>4419</v>
      </c>
      <c r="D38" s="21">
        <v>4419</v>
      </c>
      <c r="E38" s="12"/>
      <c r="F38" s="17"/>
      <c r="H38" s="4">
        <f t="shared" si="0"/>
        <v>0</v>
      </c>
    </row>
    <row r="39" spans="1:8">
      <c r="A39" s="101" t="s">
        <v>222</v>
      </c>
      <c r="B39" s="83" t="s">
        <v>112</v>
      </c>
      <c r="C39" s="23">
        <f t="shared" si="3"/>
        <v>783</v>
      </c>
      <c r="D39" s="21">
        <v>783</v>
      </c>
      <c r="E39" s="12"/>
      <c r="F39" s="17"/>
      <c r="H39" s="4">
        <f t="shared" si="0"/>
        <v>0</v>
      </c>
    </row>
    <row r="40" spans="1:8">
      <c r="A40" s="101" t="s">
        <v>223</v>
      </c>
      <c r="B40" s="83" t="s">
        <v>978</v>
      </c>
      <c r="C40" s="23">
        <f t="shared" si="3"/>
        <v>0</v>
      </c>
      <c r="D40" s="21"/>
      <c r="E40" s="12"/>
      <c r="F40" s="17"/>
      <c r="H40" s="4">
        <f t="shared" si="0"/>
        <v>0</v>
      </c>
    </row>
    <row r="41" spans="1:8">
      <c r="A41" s="101" t="s">
        <v>224</v>
      </c>
      <c r="B41" s="83" t="s">
        <v>113</v>
      </c>
      <c r="C41" s="23">
        <f t="shared" si="3"/>
        <v>0</v>
      </c>
      <c r="D41" s="21"/>
      <c r="E41" s="12"/>
      <c r="F41" s="17"/>
      <c r="H41" s="4">
        <f t="shared" si="0"/>
        <v>0</v>
      </c>
    </row>
    <row r="42" spans="1:8">
      <c r="A42" s="94" t="s">
        <v>225</v>
      </c>
      <c r="B42" s="84" t="s">
        <v>898</v>
      </c>
      <c r="C42" s="23">
        <f>+D42+E42+F42</f>
        <v>0</v>
      </c>
      <c r="D42" s="21"/>
      <c r="E42" s="12"/>
      <c r="F42" s="17"/>
      <c r="H42" s="4">
        <f t="shared" si="0"/>
        <v>0</v>
      </c>
    </row>
    <row r="43" spans="1:8" ht="12.75" thickBot="1">
      <c r="A43" s="94" t="s">
        <v>897</v>
      </c>
      <c r="B43" s="84" t="s">
        <v>899</v>
      </c>
      <c r="C43" s="26">
        <f t="shared" si="3"/>
        <v>0</v>
      </c>
      <c r="D43" s="27"/>
      <c r="E43" s="28"/>
      <c r="F43" s="29"/>
      <c r="H43" s="4">
        <f t="shared" si="0"/>
        <v>0</v>
      </c>
    </row>
    <row r="44" spans="1:8" s="3" customFormat="1" ht="12.75" thickBot="1">
      <c r="A44" s="99" t="s">
        <v>16</v>
      </c>
      <c r="B44" s="80" t="s">
        <v>969</v>
      </c>
      <c r="C44" s="44">
        <f>+C45+C46+C47+C48+C49</f>
        <v>0</v>
      </c>
      <c r="D44" s="33">
        <f>+D45+D46+D47+D48+D49</f>
        <v>0</v>
      </c>
      <c r="E44" s="34">
        <f>+E45+E46+E47+E48+E49</f>
        <v>0</v>
      </c>
      <c r="F44" s="35">
        <f>+F45+F46+F47+F48+F49</f>
        <v>0</v>
      </c>
      <c r="H44" s="3">
        <f t="shared" si="0"/>
        <v>0</v>
      </c>
    </row>
    <row r="45" spans="1:8">
      <c r="A45" s="100" t="s">
        <v>226</v>
      </c>
      <c r="B45" s="81" t="s">
        <v>114</v>
      </c>
      <c r="C45" s="36">
        <f>+D45+E45+F45</f>
        <v>0</v>
      </c>
      <c r="D45" s="41"/>
      <c r="E45" s="11"/>
      <c r="F45" s="42"/>
      <c r="H45" s="4">
        <f t="shared" si="0"/>
        <v>0</v>
      </c>
    </row>
    <row r="46" spans="1:8">
      <c r="A46" s="100" t="s">
        <v>227</v>
      </c>
      <c r="B46" s="81" t="s">
        <v>900</v>
      </c>
      <c r="C46" s="36">
        <f>+D46+E46+F46</f>
        <v>0</v>
      </c>
      <c r="D46" s="41"/>
      <c r="E46" s="11"/>
      <c r="F46" s="42"/>
      <c r="H46" s="4">
        <f t="shared" si="0"/>
        <v>0</v>
      </c>
    </row>
    <row r="47" spans="1:8">
      <c r="A47" s="100" t="s">
        <v>228</v>
      </c>
      <c r="B47" s="81" t="s">
        <v>901</v>
      </c>
      <c r="C47" s="36">
        <f>+D47+E47+F47</f>
        <v>0</v>
      </c>
      <c r="D47" s="41"/>
      <c r="E47" s="11"/>
      <c r="F47" s="42"/>
      <c r="H47" s="4">
        <f t="shared" si="0"/>
        <v>0</v>
      </c>
    </row>
    <row r="48" spans="1:8">
      <c r="A48" s="101" t="s">
        <v>256</v>
      </c>
      <c r="B48" s="83" t="s">
        <v>902</v>
      </c>
      <c r="C48" s="23">
        <f>+D48+E48+F48</f>
        <v>0</v>
      </c>
      <c r="D48" s="21"/>
      <c r="E48" s="12"/>
      <c r="F48" s="17"/>
      <c r="H48" s="4">
        <f t="shared" si="0"/>
        <v>0</v>
      </c>
    </row>
    <row r="49" spans="1:8" ht="12.75" thickBot="1">
      <c r="A49" s="94" t="s">
        <v>257</v>
      </c>
      <c r="B49" s="84" t="s">
        <v>903</v>
      </c>
      <c r="C49" s="26">
        <f>+D49+E49+F49</f>
        <v>0</v>
      </c>
      <c r="D49" s="27"/>
      <c r="E49" s="28"/>
      <c r="F49" s="29"/>
      <c r="H49" s="4">
        <f t="shared" si="0"/>
        <v>0</v>
      </c>
    </row>
    <row r="50" spans="1:8" s="3" customFormat="1" ht="12.75" thickBot="1">
      <c r="A50" s="99" t="s">
        <v>15</v>
      </c>
      <c r="B50" s="85" t="s">
        <v>299</v>
      </c>
      <c r="C50" s="44">
        <f>+C51+C58+C64</f>
        <v>0</v>
      </c>
      <c r="D50" s="33">
        <f>+D51+D58+D64</f>
        <v>0</v>
      </c>
      <c r="E50" s="34">
        <f>+E51+E58+E64</f>
        <v>0</v>
      </c>
      <c r="F50" s="35">
        <f>+F51+F58+F64</f>
        <v>0</v>
      </c>
      <c r="H50" s="3">
        <f t="shared" si="0"/>
        <v>0</v>
      </c>
    </row>
    <row r="51" spans="1:8" s="3" customFormat="1" ht="12.75" thickBot="1">
      <c r="A51" s="99" t="s">
        <v>14</v>
      </c>
      <c r="B51" s="80" t="s">
        <v>300</v>
      </c>
      <c r="C51" s="44">
        <f>+C52+C53+C54+C55+C56</f>
        <v>0</v>
      </c>
      <c r="D51" s="33">
        <f>+D52+D53+D54+D55+D56</f>
        <v>0</v>
      </c>
      <c r="E51" s="34">
        <f>+E52+E53+E54+E55+E56</f>
        <v>0</v>
      </c>
      <c r="F51" s="35">
        <f>+F52+F53+F54+F55+F56</f>
        <v>0</v>
      </c>
      <c r="H51" s="3">
        <f t="shared" si="0"/>
        <v>0</v>
      </c>
    </row>
    <row r="52" spans="1:8">
      <c r="A52" s="100" t="s">
        <v>184</v>
      </c>
      <c r="B52" s="135" t="s">
        <v>115</v>
      </c>
      <c r="C52" s="36">
        <f t="shared" ref="C52:C57" si="4">+D52+E52+F52</f>
        <v>0</v>
      </c>
      <c r="D52" s="41"/>
      <c r="E52" s="11"/>
      <c r="F52" s="42"/>
      <c r="H52" s="4">
        <f t="shared" si="0"/>
        <v>0</v>
      </c>
    </row>
    <row r="53" spans="1:8">
      <c r="A53" s="101" t="s">
        <v>185</v>
      </c>
      <c r="B53" s="83" t="s">
        <v>116</v>
      </c>
      <c r="C53" s="23">
        <f t="shared" si="4"/>
        <v>0</v>
      </c>
      <c r="D53" s="21"/>
      <c r="E53" s="12"/>
      <c r="F53" s="17"/>
      <c r="H53" s="4">
        <f t="shared" si="0"/>
        <v>0</v>
      </c>
    </row>
    <row r="54" spans="1:8">
      <c r="A54" s="101" t="s">
        <v>186</v>
      </c>
      <c r="B54" s="83" t="s">
        <v>117</v>
      </c>
      <c r="C54" s="23">
        <f t="shared" si="4"/>
        <v>0</v>
      </c>
      <c r="D54" s="21"/>
      <c r="E54" s="12"/>
      <c r="F54" s="17"/>
      <c r="H54" s="4">
        <f t="shared" si="0"/>
        <v>0</v>
      </c>
    </row>
    <row r="55" spans="1:8">
      <c r="A55" s="101" t="s">
        <v>187</v>
      </c>
      <c r="B55" s="83" t="s">
        <v>118</v>
      </c>
      <c r="C55" s="23">
        <f t="shared" si="4"/>
        <v>0</v>
      </c>
      <c r="D55" s="21"/>
      <c r="E55" s="12"/>
      <c r="F55" s="17"/>
      <c r="H55" s="4">
        <f t="shared" si="0"/>
        <v>0</v>
      </c>
    </row>
    <row r="56" spans="1:8">
      <c r="A56" s="94" t="s">
        <v>188</v>
      </c>
      <c r="B56" s="84" t="s">
        <v>119</v>
      </c>
      <c r="C56" s="26">
        <f t="shared" si="4"/>
        <v>0</v>
      </c>
      <c r="D56" s="27"/>
      <c r="E56" s="28"/>
      <c r="F56" s="29"/>
      <c r="H56" s="4">
        <f t="shared" si="0"/>
        <v>0</v>
      </c>
    </row>
    <row r="57" spans="1:8" s="14" customFormat="1" ht="12.75" thickBot="1">
      <c r="A57" s="105" t="s">
        <v>333</v>
      </c>
      <c r="B57" s="894" t="s">
        <v>337</v>
      </c>
      <c r="C57" s="58">
        <f t="shared" si="4"/>
        <v>0</v>
      </c>
      <c r="D57" s="56"/>
      <c r="E57" s="54"/>
      <c r="F57" s="55"/>
      <c r="H57" s="14">
        <f t="shared" si="0"/>
        <v>0</v>
      </c>
    </row>
    <row r="58" spans="1:8" s="3" customFormat="1" ht="12.75" thickBot="1">
      <c r="A58" s="99" t="s">
        <v>13</v>
      </c>
      <c r="B58" s="80" t="s">
        <v>301</v>
      </c>
      <c r="C58" s="44">
        <f>+C59+C60+C61+C62+C63</f>
        <v>0</v>
      </c>
      <c r="D58" s="33">
        <f>+D59+D60+D61+D62+D63</f>
        <v>0</v>
      </c>
      <c r="E58" s="34">
        <f>+E59+E60+E61+E62+E63</f>
        <v>0</v>
      </c>
      <c r="F58" s="35">
        <f>+F59+F60+F61+F62+F63</f>
        <v>0</v>
      </c>
      <c r="H58" s="3">
        <f t="shared" si="0"/>
        <v>0</v>
      </c>
    </row>
    <row r="59" spans="1:8">
      <c r="A59" s="100" t="s">
        <v>66</v>
      </c>
      <c r="B59" s="81" t="s">
        <v>120</v>
      </c>
      <c r="C59" s="36">
        <f>+D59+E59+F59</f>
        <v>0</v>
      </c>
      <c r="D59" s="41"/>
      <c r="E59" s="11"/>
      <c r="F59" s="42"/>
      <c r="H59" s="4">
        <f t="shared" si="0"/>
        <v>0</v>
      </c>
    </row>
    <row r="60" spans="1:8">
      <c r="A60" s="101" t="s">
        <v>67</v>
      </c>
      <c r="B60" s="83" t="s">
        <v>121</v>
      </c>
      <c r="C60" s="23">
        <f>+D60+E60+F60</f>
        <v>0</v>
      </c>
      <c r="D60" s="21"/>
      <c r="E60" s="12"/>
      <c r="F60" s="17"/>
      <c r="H60" s="4">
        <f t="shared" si="0"/>
        <v>0</v>
      </c>
    </row>
    <row r="61" spans="1:8">
      <c r="A61" s="101" t="s">
        <v>68</v>
      </c>
      <c r="B61" s="83" t="s">
        <v>122</v>
      </c>
      <c r="C61" s="23">
        <f>+D61+E61+F61</f>
        <v>0</v>
      </c>
      <c r="D61" s="21"/>
      <c r="E61" s="12"/>
      <c r="F61" s="17"/>
      <c r="H61" s="4">
        <f t="shared" si="0"/>
        <v>0</v>
      </c>
    </row>
    <row r="62" spans="1:8">
      <c r="A62" s="101" t="s">
        <v>229</v>
      </c>
      <c r="B62" s="83" t="s">
        <v>123</v>
      </c>
      <c r="C62" s="23">
        <f>+D62+E62+F62</f>
        <v>0</v>
      </c>
      <c r="D62" s="21"/>
      <c r="E62" s="12"/>
      <c r="F62" s="17"/>
      <c r="H62" s="4">
        <f t="shared" si="0"/>
        <v>0</v>
      </c>
    </row>
    <row r="63" spans="1:8" ht="12.75" thickBot="1">
      <c r="A63" s="94" t="s">
        <v>230</v>
      </c>
      <c r="B63" s="84" t="s">
        <v>124</v>
      </c>
      <c r="C63" s="26">
        <f>+D63+E63+F63</f>
        <v>0</v>
      </c>
      <c r="D63" s="27"/>
      <c r="E63" s="28"/>
      <c r="F63" s="29"/>
      <c r="H63" s="4">
        <f t="shared" si="0"/>
        <v>0</v>
      </c>
    </row>
    <row r="64" spans="1:8" s="3" customFormat="1" ht="12.75" thickBot="1">
      <c r="A64" s="99" t="s">
        <v>12</v>
      </c>
      <c r="B64" s="80" t="s">
        <v>907</v>
      </c>
      <c r="C64" s="44">
        <f>+C65+C66+C67+C68+C69</f>
        <v>0</v>
      </c>
      <c r="D64" s="33">
        <f>+D65+D66+D67+D68+D69</f>
        <v>0</v>
      </c>
      <c r="E64" s="34">
        <f>+E65+E66+E67+E68+E69</f>
        <v>0</v>
      </c>
      <c r="F64" s="35">
        <f>+F65+F66+F67+F68+F69</f>
        <v>0</v>
      </c>
      <c r="H64" s="3">
        <f t="shared" si="0"/>
        <v>0</v>
      </c>
    </row>
    <row r="65" spans="1:8">
      <c r="A65" s="100" t="s">
        <v>69</v>
      </c>
      <c r="B65" s="81" t="s">
        <v>125</v>
      </c>
      <c r="C65" s="36">
        <f>+D65+E65+F65</f>
        <v>0</v>
      </c>
      <c r="D65" s="41"/>
      <c r="E65" s="11"/>
      <c r="F65" s="42"/>
      <c r="H65" s="4">
        <f t="shared" si="0"/>
        <v>0</v>
      </c>
    </row>
    <row r="66" spans="1:8">
      <c r="A66" s="100" t="s">
        <v>70</v>
      </c>
      <c r="B66" s="81" t="s">
        <v>908</v>
      </c>
      <c r="C66" s="36">
        <f>+D66+E66+F66</f>
        <v>0</v>
      </c>
      <c r="D66" s="41"/>
      <c r="E66" s="11"/>
      <c r="F66" s="42"/>
      <c r="H66" s="4">
        <f t="shared" si="0"/>
        <v>0</v>
      </c>
    </row>
    <row r="67" spans="1:8">
      <c r="A67" s="100" t="s">
        <v>71</v>
      </c>
      <c r="B67" s="81" t="s">
        <v>909</v>
      </c>
      <c r="C67" s="36">
        <f>+D67+E67+F67</f>
        <v>0</v>
      </c>
      <c r="D67" s="41"/>
      <c r="E67" s="11"/>
      <c r="F67" s="42"/>
      <c r="H67" s="4">
        <f t="shared" si="0"/>
        <v>0</v>
      </c>
    </row>
    <row r="68" spans="1:8">
      <c r="A68" s="101" t="s">
        <v>72</v>
      </c>
      <c r="B68" s="83" t="s">
        <v>905</v>
      </c>
      <c r="C68" s="23">
        <f>+D68+E68+F68</f>
        <v>0</v>
      </c>
      <c r="D68" s="21"/>
      <c r="E68" s="12"/>
      <c r="F68" s="17"/>
      <c r="H68" s="4">
        <f t="shared" si="0"/>
        <v>0</v>
      </c>
    </row>
    <row r="69" spans="1:8" ht="12.75" thickBot="1">
      <c r="A69" s="94" t="s">
        <v>904</v>
      </c>
      <c r="B69" s="84" t="s">
        <v>906</v>
      </c>
      <c r="C69" s="26">
        <f>+D69+E69+F69</f>
        <v>0</v>
      </c>
      <c r="D69" s="27"/>
      <c r="E69" s="28"/>
      <c r="F69" s="29"/>
      <c r="H69" s="4">
        <f t="shared" si="0"/>
        <v>0</v>
      </c>
    </row>
    <row r="70" spans="1:8" s="3" customFormat="1" ht="12.75" thickBot="1">
      <c r="A70" s="99" t="s">
        <v>11</v>
      </c>
      <c r="B70" s="85" t="s">
        <v>302</v>
      </c>
      <c r="C70" s="44">
        <f>+C10+C50</f>
        <v>21571</v>
      </c>
      <c r="D70" s="33">
        <f>+D10+D50</f>
        <v>21571</v>
      </c>
      <c r="E70" s="34">
        <f>+E10+E50</f>
        <v>0</v>
      </c>
      <c r="F70" s="35">
        <f>+F10+F50</f>
        <v>0</v>
      </c>
      <c r="H70" s="3">
        <f t="shared" si="0"/>
        <v>0</v>
      </c>
    </row>
    <row r="71" spans="1:8" s="3" customFormat="1" ht="12.75" thickBot="1">
      <c r="A71" s="99" t="s">
        <v>10</v>
      </c>
      <c r="B71" s="86" t="s">
        <v>303</v>
      </c>
      <c r="C71" s="44">
        <f>+C72</f>
        <v>406646</v>
      </c>
      <c r="D71" s="33">
        <f>+D72</f>
        <v>406646</v>
      </c>
      <c r="E71" s="34">
        <f>+E72</f>
        <v>0</v>
      </c>
      <c r="F71" s="35">
        <f>+F72</f>
        <v>0</v>
      </c>
      <c r="H71" s="3">
        <f t="shared" si="0"/>
        <v>0</v>
      </c>
    </row>
    <row r="72" spans="1:8" s="3" customFormat="1" ht="12.75" thickBot="1">
      <c r="A72" s="99" t="s">
        <v>9</v>
      </c>
      <c r="B72" s="80" t="s">
        <v>916</v>
      </c>
      <c r="C72" s="44">
        <f>+C73+C83+C84+C85</f>
        <v>406646</v>
      </c>
      <c r="D72" s="33">
        <f>+D73+D83+D84+D85</f>
        <v>406646</v>
      </c>
      <c r="E72" s="34">
        <f>+E73+E83+E84+E85</f>
        <v>0</v>
      </c>
      <c r="F72" s="35">
        <f>+F73+F83+F84+F85</f>
        <v>0</v>
      </c>
      <c r="H72" s="3">
        <f t="shared" si="0"/>
        <v>0</v>
      </c>
    </row>
    <row r="73" spans="1:8">
      <c r="A73" s="100" t="s">
        <v>73</v>
      </c>
      <c r="B73" s="81" t="s">
        <v>911</v>
      </c>
      <c r="C73" s="36">
        <f>+C74+C75+C76+C77+C78+C79+C80+C81+C82</f>
        <v>406646</v>
      </c>
      <c r="D73" s="41">
        <f>+D74+D75+D76+D77+D78+D79+D80+D81+D82</f>
        <v>406646</v>
      </c>
      <c r="E73" s="11">
        <f>+E74+E75+E76+E77+E78+E79+E80+E81+E82</f>
        <v>0</v>
      </c>
      <c r="F73" s="42">
        <f>+F74+F75+F76+F77+F78+F79+F80+F81+F82</f>
        <v>0</v>
      </c>
      <c r="H73" s="4">
        <f t="shared" si="0"/>
        <v>0</v>
      </c>
    </row>
    <row r="74" spans="1:8" s="14" customFormat="1">
      <c r="A74" s="102" t="s">
        <v>195</v>
      </c>
      <c r="B74" s="82" t="s">
        <v>910</v>
      </c>
      <c r="C74" s="24">
        <f t="shared" ref="C74:C84" si="5">+D74+E74+F74</f>
        <v>0</v>
      </c>
      <c r="D74" s="20"/>
      <c r="E74" s="13"/>
      <c r="F74" s="16"/>
      <c r="H74" s="14">
        <f t="shared" si="0"/>
        <v>0</v>
      </c>
    </row>
    <row r="75" spans="1:8" s="14" customFormat="1">
      <c r="A75" s="102" t="s">
        <v>196</v>
      </c>
      <c r="B75" s="82" t="s">
        <v>246</v>
      </c>
      <c r="C75" s="24">
        <f t="shared" si="5"/>
        <v>0</v>
      </c>
      <c r="D75" s="20"/>
      <c r="E75" s="13"/>
      <c r="F75" s="16"/>
      <c r="H75" s="14">
        <f t="shared" ref="H75:H138" si="6">+C75-D75-E75-F75</f>
        <v>0</v>
      </c>
    </row>
    <row r="76" spans="1:8" s="14" customFormat="1">
      <c r="A76" s="102" t="s">
        <v>197</v>
      </c>
      <c r="B76" s="82" t="s">
        <v>247</v>
      </c>
      <c r="C76" s="24">
        <f t="shared" si="5"/>
        <v>0</v>
      </c>
      <c r="D76" s="20"/>
      <c r="E76" s="13"/>
      <c r="F76" s="16"/>
      <c r="H76" s="14">
        <f t="shared" si="6"/>
        <v>0</v>
      </c>
    </row>
    <row r="77" spans="1:8" s="14" customFormat="1">
      <c r="A77" s="102" t="s">
        <v>198</v>
      </c>
      <c r="B77" s="82" t="s">
        <v>248</v>
      </c>
      <c r="C77" s="24">
        <f t="shared" si="5"/>
        <v>0</v>
      </c>
      <c r="D77" s="20"/>
      <c r="E77" s="13"/>
      <c r="F77" s="16"/>
      <c r="H77" s="14">
        <f t="shared" si="6"/>
        <v>0</v>
      </c>
    </row>
    <row r="78" spans="1:8" s="14" customFormat="1">
      <c r="A78" s="102" t="s">
        <v>199</v>
      </c>
      <c r="B78" s="82" t="s">
        <v>249</v>
      </c>
      <c r="C78" s="24">
        <f t="shared" si="5"/>
        <v>0</v>
      </c>
      <c r="D78" s="20"/>
      <c r="E78" s="13"/>
      <c r="F78" s="16"/>
      <c r="H78" s="14">
        <f t="shared" si="6"/>
        <v>0</v>
      </c>
    </row>
    <row r="79" spans="1:8" s="14" customFormat="1">
      <c r="A79" s="127" t="s">
        <v>200</v>
      </c>
      <c r="B79" s="128" t="s">
        <v>250</v>
      </c>
      <c r="C79" s="24">
        <f t="shared" si="5"/>
        <v>406646</v>
      </c>
      <c r="D79" s="20">
        <f>+D109-D10+D178-D74-D75-D76-D77-D78-D80-D81-D83-D84-D85</f>
        <v>406646</v>
      </c>
      <c r="E79" s="13">
        <f>+E109-E10+E178-E74-E75-E76-E77-E78-E80-E81-E83-E84-E85</f>
        <v>0</v>
      </c>
      <c r="F79" s="16">
        <f>+F109-F10+F178-F74-F75-F76-F77-F78-F80-F81-F83-F84-F85</f>
        <v>0</v>
      </c>
      <c r="H79" s="140">
        <f t="shared" si="6"/>
        <v>0</v>
      </c>
    </row>
    <row r="80" spans="1:8" s="14" customFormat="1">
      <c r="A80" s="102" t="s">
        <v>203</v>
      </c>
      <c r="B80" s="82" t="s">
        <v>251</v>
      </c>
      <c r="C80" s="24">
        <f t="shared" si="5"/>
        <v>0</v>
      </c>
      <c r="D80" s="20"/>
      <c r="E80" s="13"/>
      <c r="F80" s="16"/>
      <c r="H80" s="140">
        <f t="shared" si="6"/>
        <v>0</v>
      </c>
    </row>
    <row r="81" spans="1:8" s="14" customFormat="1">
      <c r="A81" s="102" t="s">
        <v>201</v>
      </c>
      <c r="B81" s="82" t="s">
        <v>244</v>
      </c>
      <c r="C81" s="24">
        <f t="shared" si="5"/>
        <v>0</v>
      </c>
      <c r="D81" s="20"/>
      <c r="E81" s="13"/>
      <c r="F81" s="16"/>
      <c r="H81" s="140">
        <f t="shared" si="6"/>
        <v>0</v>
      </c>
    </row>
    <row r="82" spans="1:8" s="14" customFormat="1">
      <c r="A82" s="102" t="s">
        <v>912</v>
      </c>
      <c r="B82" s="82" t="s">
        <v>913</v>
      </c>
      <c r="C82" s="24">
        <f>+D82+E82+F82</f>
        <v>0</v>
      </c>
      <c r="D82" s="20"/>
      <c r="E82" s="13"/>
      <c r="F82" s="16"/>
      <c r="H82" s="140">
        <f t="shared" si="6"/>
        <v>0</v>
      </c>
    </row>
    <row r="83" spans="1:8">
      <c r="A83" s="101" t="s">
        <v>74</v>
      </c>
      <c r="B83" s="83" t="s">
        <v>242</v>
      </c>
      <c r="C83" s="23">
        <f t="shared" si="5"/>
        <v>0</v>
      </c>
      <c r="D83" s="21"/>
      <c r="E83" s="12"/>
      <c r="F83" s="17"/>
      <c r="H83" s="141">
        <f t="shared" si="6"/>
        <v>0</v>
      </c>
    </row>
    <row r="84" spans="1:8">
      <c r="A84" s="94" t="s">
        <v>202</v>
      </c>
      <c r="B84" s="84" t="s">
        <v>243</v>
      </c>
      <c r="C84" s="26">
        <f t="shared" si="5"/>
        <v>0</v>
      </c>
      <c r="D84" s="27"/>
      <c r="E84" s="28"/>
      <c r="F84" s="29"/>
      <c r="H84" s="141">
        <f t="shared" si="6"/>
        <v>0</v>
      </c>
    </row>
    <row r="85" spans="1:8" ht="12.75" thickBot="1">
      <c r="A85" s="94" t="s">
        <v>914</v>
      </c>
      <c r="B85" s="84" t="s">
        <v>915</v>
      </c>
      <c r="C85" s="26">
        <f>+D85+E85+F85</f>
        <v>0</v>
      </c>
      <c r="D85" s="27"/>
      <c r="E85" s="28"/>
      <c r="F85" s="29"/>
      <c r="H85" s="141">
        <f t="shared" si="6"/>
        <v>0</v>
      </c>
    </row>
    <row r="86" spans="1:8" s="3" customFormat="1" ht="12.75" thickBot="1">
      <c r="A86" s="99" t="s">
        <v>45</v>
      </c>
      <c r="B86" s="86" t="s">
        <v>304</v>
      </c>
      <c r="C86" s="44">
        <f>+C87</f>
        <v>1100</v>
      </c>
      <c r="D86" s="33">
        <f>+D87</f>
        <v>1100</v>
      </c>
      <c r="E86" s="34">
        <f>+E87</f>
        <v>0</v>
      </c>
      <c r="F86" s="35">
        <f>+F87</f>
        <v>0</v>
      </c>
      <c r="H86" s="143">
        <f t="shared" si="6"/>
        <v>0</v>
      </c>
    </row>
    <row r="87" spans="1:8" s="3" customFormat="1" ht="12.75" thickBot="1">
      <c r="A87" s="99" t="s">
        <v>44</v>
      </c>
      <c r="B87" s="80" t="s">
        <v>918</v>
      </c>
      <c r="C87" s="44">
        <f>+C88+C98+C99+C100</f>
        <v>1100</v>
      </c>
      <c r="D87" s="33">
        <f>+D88+D98+D99+D100</f>
        <v>1100</v>
      </c>
      <c r="E87" s="34">
        <f>+E88+E98+E99+E100</f>
        <v>0</v>
      </c>
      <c r="F87" s="35">
        <f>+F88+F98+F99+F100</f>
        <v>0</v>
      </c>
      <c r="H87" s="143">
        <f t="shared" si="6"/>
        <v>0</v>
      </c>
    </row>
    <row r="88" spans="1:8">
      <c r="A88" s="100" t="s">
        <v>231</v>
      </c>
      <c r="B88" s="81" t="s">
        <v>970</v>
      </c>
      <c r="C88" s="36">
        <f>+C89+C90+C91+C92+C93+C94+C95+C96+C97</f>
        <v>1100</v>
      </c>
      <c r="D88" s="41">
        <f>+D89+D90+D91+D92+D93+D94+D95+D96+D97</f>
        <v>1100</v>
      </c>
      <c r="E88" s="11">
        <f>+E89+E90+E91+E92+E93+E94+E95+E96+E97</f>
        <v>0</v>
      </c>
      <c r="F88" s="42">
        <f>+F89+F90+F91+F92+F93+F94+F95+F96+F97</f>
        <v>0</v>
      </c>
      <c r="H88" s="141">
        <f t="shared" si="6"/>
        <v>0</v>
      </c>
    </row>
    <row r="89" spans="1:8" s="14" customFormat="1">
      <c r="A89" s="102" t="s">
        <v>232</v>
      </c>
      <c r="B89" s="82" t="s">
        <v>910</v>
      </c>
      <c r="C89" s="24">
        <f t="shared" ref="C89:C99" si="7">+D89+E89+F89</f>
        <v>0</v>
      </c>
      <c r="D89" s="20"/>
      <c r="E89" s="13"/>
      <c r="F89" s="16"/>
      <c r="H89" s="140">
        <f t="shared" si="6"/>
        <v>0</v>
      </c>
    </row>
    <row r="90" spans="1:8" s="14" customFormat="1">
      <c r="A90" s="102" t="s">
        <v>233</v>
      </c>
      <c r="B90" s="82" t="s">
        <v>246</v>
      </c>
      <c r="C90" s="24">
        <f t="shared" si="7"/>
        <v>0</v>
      </c>
      <c r="D90" s="20"/>
      <c r="E90" s="13"/>
      <c r="F90" s="16"/>
      <c r="H90" s="140">
        <f t="shared" si="6"/>
        <v>0</v>
      </c>
    </row>
    <row r="91" spans="1:8" s="14" customFormat="1">
      <c r="A91" s="102" t="s">
        <v>234</v>
      </c>
      <c r="B91" s="82" t="s">
        <v>247</v>
      </c>
      <c r="C91" s="24">
        <f t="shared" si="7"/>
        <v>0</v>
      </c>
      <c r="D91" s="20"/>
      <c r="E91" s="13"/>
      <c r="F91" s="16"/>
      <c r="H91" s="140">
        <f t="shared" si="6"/>
        <v>0</v>
      </c>
    </row>
    <row r="92" spans="1:8" s="14" customFormat="1">
      <c r="A92" s="102" t="s">
        <v>235</v>
      </c>
      <c r="B92" s="82" t="s">
        <v>248</v>
      </c>
      <c r="C92" s="24">
        <f t="shared" si="7"/>
        <v>0</v>
      </c>
      <c r="D92" s="20"/>
      <c r="E92" s="13"/>
      <c r="F92" s="16"/>
      <c r="H92" s="140">
        <f t="shared" si="6"/>
        <v>0</v>
      </c>
    </row>
    <row r="93" spans="1:8" s="14" customFormat="1">
      <c r="A93" s="102" t="s">
        <v>236</v>
      </c>
      <c r="B93" s="82" t="s">
        <v>249</v>
      </c>
      <c r="C93" s="24">
        <f t="shared" si="7"/>
        <v>0</v>
      </c>
      <c r="D93" s="20"/>
      <c r="E93" s="13"/>
      <c r="F93" s="16"/>
      <c r="H93" s="140">
        <f t="shared" si="6"/>
        <v>0</v>
      </c>
    </row>
    <row r="94" spans="1:8" s="14" customFormat="1">
      <c r="A94" s="127" t="s">
        <v>237</v>
      </c>
      <c r="B94" s="128" t="s">
        <v>250</v>
      </c>
      <c r="C94" s="24">
        <f t="shared" si="7"/>
        <v>1100</v>
      </c>
      <c r="D94" s="20">
        <f>+D149-D50+D192-D89-D90-D91-D92-D93-D95-D96-D98-D99-D100</f>
        <v>1100</v>
      </c>
      <c r="E94" s="13">
        <f>+E149-E50+E192-E89-E90-E91-E92-E93-E95-E96-E98-E99-E100</f>
        <v>0</v>
      </c>
      <c r="F94" s="16">
        <f>+F149-F50+F192-F89-F90-F91-F92-F93-F95-F96-F98-F99-F100</f>
        <v>0</v>
      </c>
      <c r="H94" s="140">
        <f t="shared" si="6"/>
        <v>0</v>
      </c>
    </row>
    <row r="95" spans="1:8" s="14" customFormat="1">
      <c r="A95" s="102" t="s">
        <v>238</v>
      </c>
      <c r="B95" s="82" t="s">
        <v>251</v>
      </c>
      <c r="C95" s="24">
        <f t="shared" si="7"/>
        <v>0</v>
      </c>
      <c r="D95" s="20"/>
      <c r="E95" s="13"/>
      <c r="F95" s="16"/>
      <c r="H95" s="14">
        <f t="shared" si="6"/>
        <v>0</v>
      </c>
    </row>
    <row r="96" spans="1:8" s="14" customFormat="1">
      <c r="A96" s="102" t="s">
        <v>239</v>
      </c>
      <c r="B96" s="82" t="s">
        <v>244</v>
      </c>
      <c r="C96" s="24">
        <f t="shared" si="7"/>
        <v>0</v>
      </c>
      <c r="D96" s="20"/>
      <c r="E96" s="13"/>
      <c r="F96" s="16"/>
      <c r="H96" s="14">
        <f t="shared" si="6"/>
        <v>0</v>
      </c>
    </row>
    <row r="97" spans="1:8" s="14" customFormat="1">
      <c r="A97" s="102" t="s">
        <v>917</v>
      </c>
      <c r="B97" s="82" t="s">
        <v>913</v>
      </c>
      <c r="C97" s="24">
        <f>+D97+E97+F97</f>
        <v>0</v>
      </c>
      <c r="D97" s="20"/>
      <c r="E97" s="13"/>
      <c r="F97" s="16"/>
      <c r="H97" s="14">
        <f t="shared" si="6"/>
        <v>0</v>
      </c>
    </row>
    <row r="98" spans="1:8">
      <c r="A98" s="101" t="s">
        <v>240</v>
      </c>
      <c r="B98" s="83" t="s">
        <v>242</v>
      </c>
      <c r="C98" s="23">
        <f t="shared" si="7"/>
        <v>0</v>
      </c>
      <c r="D98" s="21"/>
      <c r="E98" s="12"/>
      <c r="F98" s="17"/>
      <c r="H98" s="4">
        <f t="shared" si="6"/>
        <v>0</v>
      </c>
    </row>
    <row r="99" spans="1:8">
      <c r="A99" s="94" t="s">
        <v>241</v>
      </c>
      <c r="B99" s="84" t="s">
        <v>243</v>
      </c>
      <c r="C99" s="26">
        <f t="shared" si="7"/>
        <v>0</v>
      </c>
      <c r="D99" s="27"/>
      <c r="E99" s="28"/>
      <c r="F99" s="29"/>
      <c r="H99" s="4">
        <f t="shared" si="6"/>
        <v>0</v>
      </c>
    </row>
    <row r="100" spans="1:8" ht="12.75" thickBot="1">
      <c r="A100" s="94" t="s">
        <v>919</v>
      </c>
      <c r="B100" s="84" t="s">
        <v>915</v>
      </c>
      <c r="C100" s="26">
        <f>+D100+E100+F100</f>
        <v>0</v>
      </c>
      <c r="D100" s="27"/>
      <c r="E100" s="28"/>
      <c r="F100" s="29"/>
      <c r="H100" s="4">
        <f t="shared" si="6"/>
        <v>0</v>
      </c>
    </row>
    <row r="101" spans="1:8" s="3" customFormat="1" ht="12.75" thickBot="1">
      <c r="A101" s="99" t="s">
        <v>43</v>
      </c>
      <c r="B101" s="85" t="s">
        <v>305</v>
      </c>
      <c r="C101" s="44">
        <f>+C71+C86</f>
        <v>407746</v>
      </c>
      <c r="D101" s="33">
        <f>+D71+D86</f>
        <v>407746</v>
      </c>
      <c r="E101" s="34">
        <f>+E71+E86</f>
        <v>0</v>
      </c>
      <c r="F101" s="35">
        <f>+F71+F86</f>
        <v>0</v>
      </c>
      <c r="H101" s="3">
        <f t="shared" si="6"/>
        <v>0</v>
      </c>
    </row>
    <row r="102" spans="1:8" s="3" customFormat="1" ht="12.75" thickBot="1">
      <c r="A102" s="103" t="s">
        <v>40</v>
      </c>
      <c r="B102" s="87" t="s">
        <v>306</v>
      </c>
      <c r="C102" s="45">
        <f>+C70+C101</f>
        <v>429317</v>
      </c>
      <c r="D102" s="30">
        <f>+D70+D101</f>
        <v>429317</v>
      </c>
      <c r="E102" s="31">
        <f>+E70+E101</f>
        <v>0</v>
      </c>
      <c r="F102" s="32">
        <f>+F70+F101</f>
        <v>0</v>
      </c>
      <c r="H102" s="3">
        <f t="shared" si="6"/>
        <v>0</v>
      </c>
    </row>
    <row r="103" spans="1:8" s="3" customFormat="1">
      <c r="A103" s="66"/>
      <c r="B103" s="37"/>
      <c r="C103" s="37"/>
      <c r="D103" s="37"/>
      <c r="E103" s="37"/>
      <c r="F103" s="37"/>
    </row>
    <row r="104" spans="1:8" s="3" customFormat="1">
      <c r="A104" s="66"/>
      <c r="B104" s="37"/>
      <c r="C104" s="37"/>
      <c r="D104" s="37"/>
      <c r="E104" s="37"/>
      <c r="F104" s="37"/>
    </row>
    <row r="105" spans="1:8" s="65" customFormat="1" ht="15.75">
      <c r="A105" s="1210" t="s">
        <v>80</v>
      </c>
      <c r="B105" s="1210"/>
      <c r="C105" s="1210"/>
      <c r="D105" s="1210"/>
      <c r="E105" s="1210"/>
      <c r="F105" s="1210"/>
    </row>
    <row r="106" spans="1:8" s="46" customFormat="1" ht="12.75" thickBot="1">
      <c r="A106" s="48" t="s">
        <v>278</v>
      </c>
      <c r="F106" s="47" t="s">
        <v>280</v>
      </c>
    </row>
    <row r="107" spans="1:8" s="3" customFormat="1" ht="48.75" thickBot="1">
      <c r="A107" s="95" t="s">
        <v>17</v>
      </c>
      <c r="B107" s="96" t="s">
        <v>328</v>
      </c>
      <c r="C107" s="49" t="s">
        <v>1442</v>
      </c>
      <c r="D107" s="6" t="s">
        <v>51</v>
      </c>
      <c r="E107" s="7" t="s">
        <v>52</v>
      </c>
      <c r="F107" s="8" t="s">
        <v>53</v>
      </c>
    </row>
    <row r="108" spans="1:8" s="3" customFormat="1" ht="12.75" thickBot="1">
      <c r="A108" s="97" t="s">
        <v>252</v>
      </c>
      <c r="B108" s="98" t="s">
        <v>253</v>
      </c>
      <c r="C108" s="1218" t="s">
        <v>254</v>
      </c>
      <c r="D108" s="1219"/>
      <c r="E108" s="1219"/>
      <c r="F108" s="1220"/>
    </row>
    <row r="109" spans="1:8" s="3" customFormat="1" ht="12.75" thickBot="1">
      <c r="A109" s="99" t="s">
        <v>4</v>
      </c>
      <c r="B109" s="85" t="s">
        <v>307</v>
      </c>
      <c r="C109" s="44">
        <f>+C110+C114+C116+C123+C132</f>
        <v>428217</v>
      </c>
      <c r="D109" s="33">
        <f>+D110+D114+D116+D123+D132</f>
        <v>428217</v>
      </c>
      <c r="E109" s="34">
        <f>+E110+E114+E116+E123+E132</f>
        <v>0</v>
      </c>
      <c r="F109" s="35">
        <f>+F110+F114+F116+F123+F132</f>
        <v>0</v>
      </c>
      <c r="H109" s="3">
        <f t="shared" si="6"/>
        <v>0</v>
      </c>
    </row>
    <row r="110" spans="1:8" s="3" customFormat="1" ht="12.75" thickBot="1">
      <c r="A110" s="99" t="s">
        <v>5</v>
      </c>
      <c r="B110" s="80" t="s">
        <v>308</v>
      </c>
      <c r="C110" s="44">
        <f>+C112+C113</f>
        <v>253934</v>
      </c>
      <c r="D110" s="33">
        <f>+D112+D113</f>
        <v>253934</v>
      </c>
      <c r="E110" s="34">
        <f>+E112+E113</f>
        <v>0</v>
      </c>
      <c r="F110" s="35">
        <f>+F112+F113</f>
        <v>0</v>
      </c>
      <c r="H110" s="3">
        <f t="shared" si="6"/>
        <v>0</v>
      </c>
    </row>
    <row r="111" spans="1:8" s="46" customFormat="1">
      <c r="A111" s="895" t="s">
        <v>348</v>
      </c>
      <c r="B111" s="896" t="s">
        <v>349</v>
      </c>
      <c r="C111" s="112">
        <f>+D111+E111+F111</f>
        <v>0</v>
      </c>
      <c r="D111" s="113"/>
      <c r="E111" s="114"/>
      <c r="F111" s="115"/>
      <c r="H111" s="46">
        <f t="shared" si="6"/>
        <v>0</v>
      </c>
    </row>
    <row r="112" spans="1:8">
      <c r="A112" s="100" t="s">
        <v>54</v>
      </c>
      <c r="B112" s="81" t="s">
        <v>126</v>
      </c>
      <c r="C112" s="36">
        <f>+D112+E112+F112</f>
        <v>253834</v>
      </c>
      <c r="D112" s="41">
        <v>253834</v>
      </c>
      <c r="E112" s="11"/>
      <c r="F112" s="42"/>
      <c r="H112" s="4">
        <f t="shared" si="6"/>
        <v>0</v>
      </c>
    </row>
    <row r="113" spans="1:8" ht="12.75" thickBot="1">
      <c r="A113" s="94" t="s">
        <v>55</v>
      </c>
      <c r="B113" s="84" t="s">
        <v>127</v>
      </c>
      <c r="C113" s="26">
        <f>+D113+E113+F113</f>
        <v>100</v>
      </c>
      <c r="D113" s="27">
        <v>100</v>
      </c>
      <c r="E113" s="28"/>
      <c r="F113" s="29"/>
      <c r="H113" s="4">
        <f t="shared" si="6"/>
        <v>0</v>
      </c>
    </row>
    <row r="114" spans="1:8" s="3" customFormat="1" ht="12.75" thickBot="1">
      <c r="A114" s="99" t="s">
        <v>6</v>
      </c>
      <c r="B114" s="80" t="s">
        <v>255</v>
      </c>
      <c r="C114" s="44">
        <f>+D114+E114+F114</f>
        <v>49784</v>
      </c>
      <c r="D114" s="33">
        <v>49784</v>
      </c>
      <c r="E114" s="34"/>
      <c r="F114" s="35"/>
      <c r="H114" s="3">
        <f>+C114-D114-E114-F114</f>
        <v>0</v>
      </c>
    </row>
    <row r="115" spans="1:8" s="46" customFormat="1" ht="12.75" thickBot="1">
      <c r="A115" s="895" t="s">
        <v>345</v>
      </c>
      <c r="B115" s="896" t="s">
        <v>346</v>
      </c>
      <c r="C115" s="112">
        <f>+D115+E115+F115</f>
        <v>0</v>
      </c>
      <c r="D115" s="113"/>
      <c r="E115" s="114"/>
      <c r="F115" s="115"/>
      <c r="H115" s="46">
        <f t="shared" si="6"/>
        <v>0</v>
      </c>
    </row>
    <row r="116" spans="1:8" s="3" customFormat="1" ht="12.75" thickBot="1">
      <c r="A116" s="99" t="s">
        <v>3</v>
      </c>
      <c r="B116" s="80" t="s">
        <v>342</v>
      </c>
      <c r="C116" s="44">
        <f>+C118+C119+C120+C121+C122</f>
        <v>124499</v>
      </c>
      <c r="D116" s="33">
        <f>+D118+D119+D120+D121+D122</f>
        <v>124499</v>
      </c>
      <c r="E116" s="34">
        <f>+E118+E119+E120+E121+E122</f>
        <v>0</v>
      </c>
      <c r="F116" s="35">
        <f>+F118+F119+F120+F121+F122</f>
        <v>0</v>
      </c>
      <c r="H116" s="3">
        <f t="shared" si="6"/>
        <v>0</v>
      </c>
    </row>
    <row r="117" spans="1:8" s="46" customFormat="1">
      <c r="A117" s="895" t="s">
        <v>340</v>
      </c>
      <c r="B117" s="896" t="s">
        <v>347</v>
      </c>
      <c r="C117" s="112">
        <f t="shared" ref="C117:C122" si="8">+D117+E117+F117</f>
        <v>0</v>
      </c>
      <c r="D117" s="113"/>
      <c r="E117" s="114"/>
      <c r="F117" s="115"/>
      <c r="H117" s="46">
        <f t="shared" si="6"/>
        <v>0</v>
      </c>
    </row>
    <row r="118" spans="1:8">
      <c r="A118" s="100" t="s">
        <v>61</v>
      </c>
      <c r="B118" s="81" t="s">
        <v>128</v>
      </c>
      <c r="C118" s="36">
        <f t="shared" si="8"/>
        <v>4960</v>
      </c>
      <c r="D118" s="41">
        <v>4960</v>
      </c>
      <c r="E118" s="11"/>
      <c r="F118" s="42"/>
      <c r="H118" s="4">
        <f t="shared" si="6"/>
        <v>0</v>
      </c>
    </row>
    <row r="119" spans="1:8">
      <c r="A119" s="101" t="s">
        <v>62</v>
      </c>
      <c r="B119" s="83" t="s">
        <v>129</v>
      </c>
      <c r="C119" s="23">
        <f t="shared" si="8"/>
        <v>1383</v>
      </c>
      <c r="D119" s="21">
        <v>1383</v>
      </c>
      <c r="E119" s="12"/>
      <c r="F119" s="17"/>
      <c r="H119" s="4">
        <f t="shared" si="6"/>
        <v>0</v>
      </c>
    </row>
    <row r="120" spans="1:8">
      <c r="A120" s="101" t="s">
        <v>63</v>
      </c>
      <c r="B120" s="83" t="s">
        <v>130</v>
      </c>
      <c r="C120" s="23">
        <f t="shared" si="8"/>
        <v>92714</v>
      </c>
      <c r="D120" s="21">
        <v>92714</v>
      </c>
      <c r="E120" s="12"/>
      <c r="F120" s="17"/>
      <c r="H120" s="4">
        <f t="shared" si="6"/>
        <v>0</v>
      </c>
    </row>
    <row r="121" spans="1:8">
      <c r="A121" s="101" t="s">
        <v>64</v>
      </c>
      <c r="B121" s="83" t="s">
        <v>131</v>
      </c>
      <c r="C121" s="23">
        <f t="shared" si="8"/>
        <v>0</v>
      </c>
      <c r="D121" s="21"/>
      <c r="E121" s="12"/>
      <c r="F121" s="17"/>
      <c r="H121" s="4">
        <f t="shared" si="6"/>
        <v>0</v>
      </c>
    </row>
    <row r="122" spans="1:8" ht="12.75" thickBot="1">
      <c r="A122" s="94" t="s">
        <v>65</v>
      </c>
      <c r="B122" s="84" t="s">
        <v>132</v>
      </c>
      <c r="C122" s="26">
        <f t="shared" si="8"/>
        <v>25442</v>
      </c>
      <c r="D122" s="27">
        <v>25442</v>
      </c>
      <c r="E122" s="28"/>
      <c r="F122" s="29"/>
      <c r="H122" s="4">
        <f t="shared" si="6"/>
        <v>0</v>
      </c>
    </row>
    <row r="123" spans="1:8" s="3" customFormat="1" ht="12.75" thickBot="1">
      <c r="A123" s="99" t="s">
        <v>16</v>
      </c>
      <c r="B123" s="80" t="s">
        <v>309</v>
      </c>
      <c r="C123" s="44">
        <f>+C124+C125+C126+C127+C128+C129+C130+C131</f>
        <v>0</v>
      </c>
      <c r="D123" s="33">
        <f>+D124+D125+D126+D127+D128+D129+D130+D131</f>
        <v>0</v>
      </c>
      <c r="E123" s="34">
        <f>+E124+E125+E126+E127+E128+E129+E130+E131</f>
        <v>0</v>
      </c>
      <c r="F123" s="35">
        <f>+F124+F125+F126+F127+F128+F129+F130+F131</f>
        <v>0</v>
      </c>
      <c r="H123" s="3">
        <f t="shared" si="6"/>
        <v>0</v>
      </c>
    </row>
    <row r="124" spans="1:8">
      <c r="A124" s="100" t="s">
        <v>226</v>
      </c>
      <c r="B124" s="81" t="s">
        <v>133</v>
      </c>
      <c r="C124" s="36">
        <f t="shared" ref="C124:C131" si="9">+D124+E124+F124</f>
        <v>0</v>
      </c>
      <c r="D124" s="41"/>
      <c r="E124" s="11"/>
      <c r="F124" s="42"/>
      <c r="H124" s="4">
        <f t="shared" si="6"/>
        <v>0</v>
      </c>
    </row>
    <row r="125" spans="1:8">
      <c r="A125" s="101" t="s">
        <v>227</v>
      </c>
      <c r="B125" s="83" t="s">
        <v>134</v>
      </c>
      <c r="C125" s="23">
        <f t="shared" si="9"/>
        <v>0</v>
      </c>
      <c r="D125" s="21"/>
      <c r="E125" s="12"/>
      <c r="F125" s="17"/>
      <c r="H125" s="4">
        <f t="shared" si="6"/>
        <v>0</v>
      </c>
    </row>
    <row r="126" spans="1:8">
      <c r="A126" s="101" t="s">
        <v>228</v>
      </c>
      <c r="B126" s="83" t="s">
        <v>135</v>
      </c>
      <c r="C126" s="23">
        <f t="shared" si="9"/>
        <v>0</v>
      </c>
      <c r="D126" s="21"/>
      <c r="E126" s="12"/>
      <c r="F126" s="17"/>
      <c r="H126" s="4">
        <f t="shared" si="6"/>
        <v>0</v>
      </c>
    </row>
    <row r="127" spans="1:8">
      <c r="A127" s="101" t="s">
        <v>256</v>
      </c>
      <c r="B127" s="83" t="s">
        <v>136</v>
      </c>
      <c r="C127" s="23">
        <f t="shared" si="9"/>
        <v>0</v>
      </c>
      <c r="D127" s="21"/>
      <c r="E127" s="12"/>
      <c r="F127" s="17"/>
      <c r="H127" s="4">
        <f t="shared" si="6"/>
        <v>0</v>
      </c>
    </row>
    <row r="128" spans="1:8">
      <c r="A128" s="101" t="s">
        <v>257</v>
      </c>
      <c r="B128" s="83" t="s">
        <v>137</v>
      </c>
      <c r="C128" s="23">
        <f t="shared" si="9"/>
        <v>0</v>
      </c>
      <c r="D128" s="21"/>
      <c r="E128" s="12"/>
      <c r="F128" s="17"/>
      <c r="H128" s="4">
        <f t="shared" si="6"/>
        <v>0</v>
      </c>
    </row>
    <row r="129" spans="1:8">
      <c r="A129" s="101" t="s">
        <v>258</v>
      </c>
      <c r="B129" s="83" t="s">
        <v>138</v>
      </c>
      <c r="C129" s="23">
        <f t="shared" si="9"/>
        <v>0</v>
      </c>
      <c r="D129" s="21"/>
      <c r="E129" s="12"/>
      <c r="F129" s="17"/>
      <c r="H129" s="4">
        <f t="shared" si="6"/>
        <v>0</v>
      </c>
    </row>
    <row r="130" spans="1:8">
      <c r="A130" s="101" t="s">
        <v>259</v>
      </c>
      <c r="B130" s="83" t="s">
        <v>139</v>
      </c>
      <c r="C130" s="23">
        <f t="shared" si="9"/>
        <v>0</v>
      </c>
      <c r="D130" s="21"/>
      <c r="E130" s="12"/>
      <c r="F130" s="17"/>
      <c r="H130" s="4">
        <f t="shared" si="6"/>
        <v>0</v>
      </c>
    </row>
    <row r="131" spans="1:8" ht="12.75" thickBot="1">
      <c r="A131" s="94" t="s">
        <v>260</v>
      </c>
      <c r="B131" s="84" t="s">
        <v>140</v>
      </c>
      <c r="C131" s="26">
        <f t="shared" si="9"/>
        <v>0</v>
      </c>
      <c r="D131" s="27"/>
      <c r="E131" s="28"/>
      <c r="F131" s="29"/>
      <c r="H131" s="4">
        <f t="shared" si="6"/>
        <v>0</v>
      </c>
    </row>
    <row r="132" spans="1:8" s="3" customFormat="1" ht="12.75" thickBot="1">
      <c r="A132" s="99" t="s">
        <v>15</v>
      </c>
      <c r="B132" s="80" t="s">
        <v>923</v>
      </c>
      <c r="C132" s="44">
        <f>+C133+C134+C135+C136+C137+C138+C140+C141+C142+C143+C144+C145+C146</f>
        <v>0</v>
      </c>
      <c r="D132" s="33">
        <f>+D133+D134+D135+D136+D137+D138+D140+D141+D142+D143+D144+D145+D146</f>
        <v>0</v>
      </c>
      <c r="E132" s="34">
        <f>+E133+E134+E135+E136+E137+E138+E140+E141+E142+E143+E144+E145+E146</f>
        <v>0</v>
      </c>
      <c r="F132" s="35">
        <f>+F133+F134+F135+F136+F137+F138+F140+F141+F142+F143+F144+F145+F146</f>
        <v>0</v>
      </c>
      <c r="H132" s="3">
        <f t="shared" si="6"/>
        <v>0</v>
      </c>
    </row>
    <row r="133" spans="1:8">
      <c r="A133" s="100" t="s">
        <v>87</v>
      </c>
      <c r="B133" s="81" t="s">
        <v>141</v>
      </c>
      <c r="C133" s="36">
        <f t="shared" ref="C133:C145" si="10">+D133+E133+F133</f>
        <v>0</v>
      </c>
      <c r="D133" s="41"/>
      <c r="E133" s="11"/>
      <c r="F133" s="42"/>
      <c r="H133" s="4">
        <f t="shared" si="6"/>
        <v>0</v>
      </c>
    </row>
    <row r="134" spans="1:8">
      <c r="A134" s="101" t="s">
        <v>88</v>
      </c>
      <c r="B134" s="83" t="s">
        <v>142</v>
      </c>
      <c r="C134" s="23">
        <f t="shared" si="10"/>
        <v>0</v>
      </c>
      <c r="D134" s="21"/>
      <c r="E134" s="12"/>
      <c r="F134" s="17"/>
      <c r="H134" s="4">
        <f t="shared" si="6"/>
        <v>0</v>
      </c>
    </row>
    <row r="135" spans="1:8">
      <c r="A135" s="101" t="s">
        <v>181</v>
      </c>
      <c r="B135" s="83" t="s">
        <v>143</v>
      </c>
      <c r="C135" s="23">
        <f t="shared" si="10"/>
        <v>0</v>
      </c>
      <c r="D135" s="21"/>
      <c r="E135" s="12"/>
      <c r="F135" s="17"/>
      <c r="H135" s="4">
        <f t="shared" si="6"/>
        <v>0</v>
      </c>
    </row>
    <row r="136" spans="1:8">
      <c r="A136" s="101" t="s">
        <v>182</v>
      </c>
      <c r="B136" s="83" t="s">
        <v>144</v>
      </c>
      <c r="C136" s="23">
        <f t="shared" si="10"/>
        <v>0</v>
      </c>
      <c r="D136" s="21"/>
      <c r="E136" s="12"/>
      <c r="F136" s="17"/>
      <c r="H136" s="4">
        <f t="shared" si="6"/>
        <v>0</v>
      </c>
    </row>
    <row r="137" spans="1:8">
      <c r="A137" s="101" t="s">
        <v>183</v>
      </c>
      <c r="B137" s="83" t="s">
        <v>145</v>
      </c>
      <c r="C137" s="23">
        <f t="shared" si="10"/>
        <v>0</v>
      </c>
      <c r="D137" s="21"/>
      <c r="E137" s="12"/>
      <c r="F137" s="17"/>
      <c r="H137" s="4">
        <f t="shared" si="6"/>
        <v>0</v>
      </c>
    </row>
    <row r="138" spans="1:8">
      <c r="A138" s="101" t="s">
        <v>261</v>
      </c>
      <c r="B138" s="83" t="s">
        <v>146</v>
      </c>
      <c r="C138" s="23">
        <f t="shared" si="10"/>
        <v>0</v>
      </c>
      <c r="D138" s="21"/>
      <c r="E138" s="12"/>
      <c r="F138" s="17"/>
      <c r="H138" s="4">
        <f t="shared" si="6"/>
        <v>0</v>
      </c>
    </row>
    <row r="139" spans="1:8" s="14" customFormat="1">
      <c r="A139" s="105" t="s">
        <v>335</v>
      </c>
      <c r="B139" s="894" t="s">
        <v>929</v>
      </c>
      <c r="C139" s="58">
        <f t="shared" si="10"/>
        <v>0</v>
      </c>
      <c r="D139" s="56"/>
      <c r="E139" s="54"/>
      <c r="F139" s="55"/>
      <c r="H139" s="14">
        <f t="shared" ref="H139:H202" si="11">+C139-D139-E139-F139</f>
        <v>0</v>
      </c>
    </row>
    <row r="140" spans="1:8">
      <c r="A140" s="101" t="s">
        <v>262</v>
      </c>
      <c r="B140" s="83" t="s">
        <v>147</v>
      </c>
      <c r="C140" s="23">
        <f t="shared" si="10"/>
        <v>0</v>
      </c>
      <c r="D140" s="21"/>
      <c r="E140" s="12"/>
      <c r="F140" s="17"/>
      <c r="H140" s="4">
        <f t="shared" si="11"/>
        <v>0</v>
      </c>
    </row>
    <row r="141" spans="1:8">
      <c r="A141" s="101" t="s">
        <v>263</v>
      </c>
      <c r="B141" s="83" t="s">
        <v>148</v>
      </c>
      <c r="C141" s="23">
        <f t="shared" si="10"/>
        <v>0</v>
      </c>
      <c r="D141" s="21"/>
      <c r="E141" s="12"/>
      <c r="F141" s="17"/>
      <c r="H141" s="4">
        <f t="shared" si="11"/>
        <v>0</v>
      </c>
    </row>
    <row r="142" spans="1:8">
      <c r="A142" s="101" t="s">
        <v>264</v>
      </c>
      <c r="B142" s="83" t="s">
        <v>149</v>
      </c>
      <c r="C142" s="23">
        <f t="shared" si="10"/>
        <v>0</v>
      </c>
      <c r="D142" s="21"/>
      <c r="E142" s="12"/>
      <c r="F142" s="17"/>
      <c r="H142" s="4">
        <f t="shared" si="11"/>
        <v>0</v>
      </c>
    </row>
    <row r="143" spans="1:8">
      <c r="A143" s="101" t="s">
        <v>265</v>
      </c>
      <c r="B143" s="83" t="s">
        <v>150</v>
      </c>
      <c r="C143" s="23">
        <f t="shared" si="10"/>
        <v>0</v>
      </c>
      <c r="D143" s="21"/>
      <c r="E143" s="12"/>
      <c r="F143" s="17"/>
      <c r="H143" s="4">
        <f t="shared" si="11"/>
        <v>0</v>
      </c>
    </row>
    <row r="144" spans="1:8">
      <c r="A144" s="101" t="s">
        <v>266</v>
      </c>
      <c r="B144" s="83" t="s">
        <v>924</v>
      </c>
      <c r="C144" s="23">
        <f>+D144+E144+F144</f>
        <v>0</v>
      </c>
      <c r="D144" s="21"/>
      <c r="E144" s="12"/>
      <c r="F144" s="17"/>
      <c r="H144" s="4">
        <f t="shared" si="11"/>
        <v>0</v>
      </c>
    </row>
    <row r="145" spans="1:8">
      <c r="A145" s="101" t="s">
        <v>267</v>
      </c>
      <c r="B145" s="83" t="s">
        <v>925</v>
      </c>
      <c r="C145" s="23">
        <f t="shared" si="10"/>
        <v>0</v>
      </c>
      <c r="D145" s="21"/>
      <c r="E145" s="12"/>
      <c r="F145" s="17"/>
      <c r="H145" s="4">
        <f t="shared" si="11"/>
        <v>0</v>
      </c>
    </row>
    <row r="146" spans="1:8">
      <c r="A146" s="94" t="s">
        <v>920</v>
      </c>
      <c r="B146" s="84" t="s">
        <v>926</v>
      </c>
      <c r="C146" s="26">
        <f>+C147+C148</f>
        <v>0</v>
      </c>
      <c r="D146" s="27">
        <f>+D147+D148</f>
        <v>0</v>
      </c>
      <c r="E146" s="28">
        <f>+E147+E148</f>
        <v>0</v>
      </c>
      <c r="F146" s="29">
        <f>+F147+F148</f>
        <v>0</v>
      </c>
      <c r="H146" s="4">
        <f t="shared" si="11"/>
        <v>0</v>
      </c>
    </row>
    <row r="147" spans="1:8" s="14" customFormat="1">
      <c r="A147" s="105" t="s">
        <v>921</v>
      </c>
      <c r="B147" s="90" t="s">
        <v>927</v>
      </c>
      <c r="C147" s="58">
        <f>+D147+E147+F147</f>
        <v>0</v>
      </c>
      <c r="D147" s="56"/>
      <c r="E147" s="54"/>
      <c r="F147" s="55"/>
      <c r="H147" s="14">
        <f t="shared" si="11"/>
        <v>0</v>
      </c>
    </row>
    <row r="148" spans="1:8" s="14" customFormat="1" ht="12.75" thickBot="1">
      <c r="A148" s="105" t="s">
        <v>922</v>
      </c>
      <c r="B148" s="90" t="s">
        <v>928</v>
      </c>
      <c r="C148" s="58">
        <f>+D148+E148+F148</f>
        <v>0</v>
      </c>
      <c r="D148" s="56"/>
      <c r="E148" s="54"/>
      <c r="F148" s="55"/>
      <c r="H148" s="14">
        <f t="shared" si="11"/>
        <v>0</v>
      </c>
    </row>
    <row r="149" spans="1:8" s="3" customFormat="1" ht="12.75" thickBot="1">
      <c r="A149" s="99" t="s">
        <v>14</v>
      </c>
      <c r="B149" s="85" t="s">
        <v>310</v>
      </c>
      <c r="C149" s="44">
        <f>+C150+C159+C165</f>
        <v>1100</v>
      </c>
      <c r="D149" s="33">
        <f>+D150+D159+D165</f>
        <v>1100</v>
      </c>
      <c r="E149" s="34">
        <f>+E150+E159+E165</f>
        <v>0</v>
      </c>
      <c r="F149" s="35">
        <f>+F150+F159+F165</f>
        <v>0</v>
      </c>
      <c r="H149" s="3">
        <f t="shared" si="11"/>
        <v>0</v>
      </c>
    </row>
    <row r="150" spans="1:8" s="3" customFormat="1" ht="12.75" thickBot="1">
      <c r="A150" s="99" t="s">
        <v>13</v>
      </c>
      <c r="B150" s="80" t="s">
        <v>311</v>
      </c>
      <c r="C150" s="44">
        <f>+C152+C153+C154+C155+C156+C157+C158</f>
        <v>1100</v>
      </c>
      <c r="D150" s="33">
        <f>+D152+D153+D154+D155+D156+D157+D158</f>
        <v>1100</v>
      </c>
      <c r="E150" s="34">
        <f>+E152+E153+E154+E155+E156+E157+E158</f>
        <v>0</v>
      </c>
      <c r="F150" s="35">
        <f>+F152+F153+F154+F155+F156+F157+F158</f>
        <v>0</v>
      </c>
      <c r="H150" s="3">
        <f t="shared" si="11"/>
        <v>0</v>
      </c>
    </row>
    <row r="151" spans="1:8" s="46" customFormat="1">
      <c r="A151" s="895" t="s">
        <v>930</v>
      </c>
      <c r="B151" s="896" t="s">
        <v>341</v>
      </c>
      <c r="C151" s="112">
        <f t="shared" ref="C151:C158" si="12">+D151+E151+F151</f>
        <v>0</v>
      </c>
      <c r="D151" s="113"/>
      <c r="E151" s="114"/>
      <c r="F151" s="115"/>
      <c r="H151" s="46">
        <f t="shared" si="11"/>
        <v>0</v>
      </c>
    </row>
    <row r="152" spans="1:8">
      <c r="A152" s="100" t="s">
        <v>66</v>
      </c>
      <c r="B152" s="81" t="s">
        <v>151</v>
      </c>
      <c r="C152" s="36">
        <f t="shared" si="12"/>
        <v>0</v>
      </c>
      <c r="D152" s="41"/>
      <c r="E152" s="11"/>
      <c r="F152" s="42"/>
      <c r="H152" s="4">
        <f t="shared" si="11"/>
        <v>0</v>
      </c>
    </row>
    <row r="153" spans="1:8">
      <c r="A153" s="101" t="s">
        <v>67</v>
      </c>
      <c r="B153" s="83" t="s">
        <v>152</v>
      </c>
      <c r="C153" s="23">
        <f t="shared" si="12"/>
        <v>0</v>
      </c>
      <c r="D153" s="21"/>
      <c r="E153" s="12"/>
      <c r="F153" s="17"/>
      <c r="H153" s="4">
        <f t="shared" si="11"/>
        <v>0</v>
      </c>
    </row>
    <row r="154" spans="1:8">
      <c r="A154" s="101" t="s">
        <v>68</v>
      </c>
      <c r="B154" s="83" t="s">
        <v>153</v>
      </c>
      <c r="C154" s="23">
        <f t="shared" si="12"/>
        <v>0</v>
      </c>
      <c r="D154" s="21"/>
      <c r="E154" s="12"/>
      <c r="F154" s="17"/>
      <c r="H154" s="4">
        <f t="shared" si="11"/>
        <v>0</v>
      </c>
    </row>
    <row r="155" spans="1:8">
      <c r="A155" s="101" t="s">
        <v>229</v>
      </c>
      <c r="B155" s="83" t="s">
        <v>154</v>
      </c>
      <c r="C155" s="23">
        <f t="shared" si="12"/>
        <v>866</v>
      </c>
      <c r="D155" s="21">
        <v>866</v>
      </c>
      <c r="E155" s="12"/>
      <c r="F155" s="17"/>
      <c r="H155" s="4">
        <f t="shared" si="11"/>
        <v>0</v>
      </c>
    </row>
    <row r="156" spans="1:8">
      <c r="A156" s="101" t="s">
        <v>230</v>
      </c>
      <c r="B156" s="83" t="s">
        <v>155</v>
      </c>
      <c r="C156" s="23">
        <f t="shared" si="12"/>
        <v>0</v>
      </c>
      <c r="D156" s="21"/>
      <c r="E156" s="12"/>
      <c r="F156" s="17"/>
      <c r="H156" s="4">
        <f t="shared" si="11"/>
        <v>0</v>
      </c>
    </row>
    <row r="157" spans="1:8">
      <c r="A157" s="101" t="s">
        <v>268</v>
      </c>
      <c r="B157" s="83" t="s">
        <v>156</v>
      </c>
      <c r="C157" s="23">
        <f t="shared" si="12"/>
        <v>0</v>
      </c>
      <c r="D157" s="21"/>
      <c r="E157" s="12"/>
      <c r="F157" s="17"/>
      <c r="H157" s="4">
        <f t="shared" si="11"/>
        <v>0</v>
      </c>
    </row>
    <row r="158" spans="1:8" ht="12.75" thickBot="1">
      <c r="A158" s="94" t="s">
        <v>269</v>
      </c>
      <c r="B158" s="84" t="s">
        <v>157</v>
      </c>
      <c r="C158" s="26">
        <f t="shared" si="12"/>
        <v>234</v>
      </c>
      <c r="D158" s="27">
        <v>234</v>
      </c>
      <c r="E158" s="28"/>
      <c r="F158" s="29"/>
      <c r="H158" s="4">
        <f t="shared" si="11"/>
        <v>0</v>
      </c>
    </row>
    <row r="159" spans="1:8" s="3" customFormat="1" ht="12.75" thickBot="1">
      <c r="A159" s="99" t="s">
        <v>12</v>
      </c>
      <c r="B159" s="80" t="s">
        <v>312</v>
      </c>
      <c r="C159" s="44">
        <f>+C161+C162+C163+C164</f>
        <v>0</v>
      </c>
      <c r="D159" s="33">
        <f>+D161+D162+D163+D164</f>
        <v>0</v>
      </c>
      <c r="E159" s="34">
        <f>+E161+E162+E163+E164</f>
        <v>0</v>
      </c>
      <c r="F159" s="35">
        <f>+F161+F162+F163+F164</f>
        <v>0</v>
      </c>
      <c r="H159" s="3">
        <f t="shared" si="11"/>
        <v>0</v>
      </c>
    </row>
    <row r="160" spans="1:8" s="46" customFormat="1">
      <c r="A160" s="895" t="s">
        <v>343</v>
      </c>
      <c r="B160" s="896" t="s">
        <v>344</v>
      </c>
      <c r="C160" s="112">
        <f>+D160+E160+F160</f>
        <v>0</v>
      </c>
      <c r="D160" s="113"/>
      <c r="E160" s="114"/>
      <c r="F160" s="115"/>
      <c r="H160" s="46">
        <f t="shared" si="11"/>
        <v>0</v>
      </c>
    </row>
    <row r="161" spans="1:8">
      <c r="A161" s="100" t="s">
        <v>69</v>
      </c>
      <c r="B161" s="81" t="s">
        <v>158</v>
      </c>
      <c r="C161" s="36">
        <f>+D161+E161+F161</f>
        <v>0</v>
      </c>
      <c r="D161" s="41"/>
      <c r="E161" s="11"/>
      <c r="F161" s="42"/>
      <c r="H161" s="4">
        <f t="shared" si="11"/>
        <v>0</v>
      </c>
    </row>
    <row r="162" spans="1:8">
      <c r="A162" s="101" t="s">
        <v>70</v>
      </c>
      <c r="B162" s="83" t="s">
        <v>159</v>
      </c>
      <c r="C162" s="23">
        <f>+D162+E162+F162</f>
        <v>0</v>
      </c>
      <c r="D162" s="21"/>
      <c r="E162" s="12"/>
      <c r="F162" s="17"/>
      <c r="H162" s="4">
        <f t="shared" si="11"/>
        <v>0</v>
      </c>
    </row>
    <row r="163" spans="1:8">
      <c r="A163" s="101" t="s">
        <v>71</v>
      </c>
      <c r="B163" s="83" t="s">
        <v>160</v>
      </c>
      <c r="C163" s="23">
        <f>+D163+E163+F163</f>
        <v>0</v>
      </c>
      <c r="D163" s="21"/>
      <c r="E163" s="12"/>
      <c r="F163" s="17"/>
      <c r="H163" s="4">
        <f t="shared" si="11"/>
        <v>0</v>
      </c>
    </row>
    <row r="164" spans="1:8" ht="12.75" thickBot="1">
      <c r="A164" s="94" t="s">
        <v>72</v>
      </c>
      <c r="B164" s="84" t="s">
        <v>161</v>
      </c>
      <c r="C164" s="26">
        <f>+D164+E164+F164</f>
        <v>0</v>
      </c>
      <c r="D164" s="27"/>
      <c r="E164" s="28"/>
      <c r="F164" s="29"/>
      <c r="H164" s="4">
        <f t="shared" si="11"/>
        <v>0</v>
      </c>
    </row>
    <row r="165" spans="1:8" s="3" customFormat="1" ht="12.75" thickBot="1">
      <c r="A165" s="99" t="s">
        <v>11</v>
      </c>
      <c r="B165" s="80" t="s">
        <v>932</v>
      </c>
      <c r="C165" s="44">
        <f>+C166+C167+C168+C169+C171+C172+C173+C174+C175</f>
        <v>0</v>
      </c>
      <c r="D165" s="33">
        <f>+D166+D167+D168+D169+D171+D172+D173+D174+D175</f>
        <v>0</v>
      </c>
      <c r="E165" s="34">
        <f>+E166+E167+E168+E169+E171+E172+E173+E174+E175</f>
        <v>0</v>
      </c>
      <c r="F165" s="35">
        <f>+F166+F167+F168+F169+F171+F172+F173+F174+F175</f>
        <v>0</v>
      </c>
      <c r="H165" s="3">
        <f t="shared" si="11"/>
        <v>0</v>
      </c>
    </row>
    <row r="166" spans="1:8">
      <c r="A166" s="100" t="s">
        <v>270</v>
      </c>
      <c r="B166" s="81" t="s">
        <v>162</v>
      </c>
      <c r="C166" s="36">
        <f t="shared" ref="C166:C175" si="13">+D166+E166+F166</f>
        <v>0</v>
      </c>
      <c r="D166" s="41"/>
      <c r="E166" s="11"/>
      <c r="F166" s="42"/>
      <c r="H166" s="4">
        <f t="shared" si="11"/>
        <v>0</v>
      </c>
    </row>
    <row r="167" spans="1:8">
      <c r="A167" s="101" t="s">
        <v>271</v>
      </c>
      <c r="B167" s="83" t="s">
        <v>163</v>
      </c>
      <c r="C167" s="23">
        <f t="shared" si="13"/>
        <v>0</v>
      </c>
      <c r="D167" s="21"/>
      <c r="E167" s="12"/>
      <c r="F167" s="17"/>
      <c r="H167" s="4">
        <f t="shared" si="11"/>
        <v>0</v>
      </c>
    </row>
    <row r="168" spans="1:8">
      <c r="A168" s="101" t="s">
        <v>272</v>
      </c>
      <c r="B168" s="83" t="s">
        <v>164</v>
      </c>
      <c r="C168" s="23">
        <f t="shared" si="13"/>
        <v>0</v>
      </c>
      <c r="D168" s="21"/>
      <c r="E168" s="12"/>
      <c r="F168" s="17"/>
      <c r="H168" s="4">
        <f t="shared" si="11"/>
        <v>0</v>
      </c>
    </row>
    <row r="169" spans="1:8">
      <c r="A169" s="101" t="s">
        <v>273</v>
      </c>
      <c r="B169" s="83" t="s">
        <v>165</v>
      </c>
      <c r="C169" s="23">
        <f t="shared" si="13"/>
        <v>0</v>
      </c>
      <c r="D169" s="21"/>
      <c r="E169" s="12"/>
      <c r="F169" s="17"/>
      <c r="H169" s="4">
        <f t="shared" si="11"/>
        <v>0</v>
      </c>
    </row>
    <row r="170" spans="1:8" s="14" customFormat="1">
      <c r="A170" s="105" t="s">
        <v>338</v>
      </c>
      <c r="B170" s="894" t="s">
        <v>339</v>
      </c>
      <c r="C170" s="58">
        <f t="shared" si="13"/>
        <v>0</v>
      </c>
      <c r="D170" s="56"/>
      <c r="E170" s="54"/>
      <c r="F170" s="55"/>
      <c r="H170" s="14">
        <f t="shared" si="11"/>
        <v>0</v>
      </c>
    </row>
    <row r="171" spans="1:8">
      <c r="A171" s="101" t="s">
        <v>274</v>
      </c>
      <c r="B171" s="83" t="s">
        <v>166</v>
      </c>
      <c r="C171" s="23">
        <f t="shared" si="13"/>
        <v>0</v>
      </c>
      <c r="D171" s="21"/>
      <c r="E171" s="12"/>
      <c r="F171" s="17"/>
      <c r="H171" s="4">
        <f t="shared" si="11"/>
        <v>0</v>
      </c>
    </row>
    <row r="172" spans="1:8">
      <c r="A172" s="101" t="s">
        <v>275</v>
      </c>
      <c r="B172" s="83" t="s">
        <v>167</v>
      </c>
      <c r="C172" s="23">
        <f t="shared" si="13"/>
        <v>0</v>
      </c>
      <c r="D172" s="21"/>
      <c r="E172" s="12"/>
      <c r="F172" s="17"/>
      <c r="H172" s="4">
        <f t="shared" si="11"/>
        <v>0</v>
      </c>
    </row>
    <row r="173" spans="1:8">
      <c r="A173" s="101" t="s">
        <v>276</v>
      </c>
      <c r="B173" s="83" t="s">
        <v>168</v>
      </c>
      <c r="C173" s="23">
        <f t="shared" si="13"/>
        <v>0</v>
      </c>
      <c r="D173" s="21"/>
      <c r="E173" s="12"/>
      <c r="F173" s="17"/>
      <c r="H173" s="4">
        <f t="shared" si="11"/>
        <v>0</v>
      </c>
    </row>
    <row r="174" spans="1:8">
      <c r="A174" s="101" t="s">
        <v>277</v>
      </c>
      <c r="B174" s="83" t="s">
        <v>933</v>
      </c>
      <c r="C174" s="23">
        <f>+D174+E174+F174</f>
        <v>0</v>
      </c>
      <c r="D174" s="21"/>
      <c r="E174" s="12"/>
      <c r="F174" s="17"/>
      <c r="H174" s="4">
        <f t="shared" si="11"/>
        <v>0</v>
      </c>
    </row>
    <row r="175" spans="1:8" ht="12.75" thickBot="1">
      <c r="A175" s="94" t="s">
        <v>931</v>
      </c>
      <c r="B175" s="84" t="s">
        <v>934</v>
      </c>
      <c r="C175" s="26">
        <f t="shared" si="13"/>
        <v>0</v>
      </c>
      <c r="D175" s="27"/>
      <c r="E175" s="28"/>
      <c r="F175" s="29"/>
      <c r="H175" s="4">
        <f t="shared" si="11"/>
        <v>0</v>
      </c>
    </row>
    <row r="176" spans="1:8" s="3" customFormat="1" ht="12.75" thickBot="1">
      <c r="A176" s="99" t="s">
        <v>10</v>
      </c>
      <c r="B176" s="85" t="s">
        <v>313</v>
      </c>
      <c r="C176" s="44">
        <f>+C109+C149</f>
        <v>429317</v>
      </c>
      <c r="D176" s="33">
        <f>+D109+D149</f>
        <v>429317</v>
      </c>
      <c r="E176" s="34">
        <f>+E109+E149</f>
        <v>0</v>
      </c>
      <c r="F176" s="35">
        <f>+F109+F149</f>
        <v>0</v>
      </c>
      <c r="H176" s="3">
        <f t="shared" si="11"/>
        <v>0</v>
      </c>
    </row>
    <row r="177" spans="1:8" s="3" customFormat="1" ht="12.75" thickBot="1">
      <c r="A177" s="99" t="s">
        <v>9</v>
      </c>
      <c r="B177" s="86" t="s">
        <v>314</v>
      </c>
      <c r="C177" s="44">
        <f>+C178</f>
        <v>0</v>
      </c>
      <c r="D177" s="33">
        <f>+D178</f>
        <v>0</v>
      </c>
      <c r="E177" s="34">
        <f>+E178</f>
        <v>0</v>
      </c>
      <c r="F177" s="35">
        <f>+F178</f>
        <v>0</v>
      </c>
      <c r="H177" s="3">
        <f t="shared" si="11"/>
        <v>0</v>
      </c>
    </row>
    <row r="178" spans="1:8" s="3" customFormat="1" ht="12.75" thickBot="1">
      <c r="A178" s="99" t="s">
        <v>45</v>
      </c>
      <c r="B178" s="80" t="s">
        <v>941</v>
      </c>
      <c r="C178" s="44">
        <f>+C179+C189+C190+C191</f>
        <v>0</v>
      </c>
      <c r="D178" s="33">
        <f>+D179+D189+D190+D191</f>
        <v>0</v>
      </c>
      <c r="E178" s="34">
        <f>+E179+E189+E190+E191</f>
        <v>0</v>
      </c>
      <c r="F178" s="35">
        <f>+F179+F189+F190+F191</f>
        <v>0</v>
      </c>
      <c r="H178" s="3">
        <f t="shared" si="11"/>
        <v>0</v>
      </c>
    </row>
    <row r="179" spans="1:8">
      <c r="A179" s="100" t="s">
        <v>75</v>
      </c>
      <c r="B179" s="81" t="s">
        <v>942</v>
      </c>
      <c r="C179" s="36">
        <f>+C180+C181+C182+C183+C184+C185+C186+C187+C188</f>
        <v>0</v>
      </c>
      <c r="D179" s="41">
        <f>+D180+D181+D182+D183+D184+D185+D186+D187+D188</f>
        <v>0</v>
      </c>
      <c r="E179" s="11">
        <f>+E180+E181+E182+E183+E184+E185+E186+E187+E188</f>
        <v>0</v>
      </c>
      <c r="F179" s="42">
        <f>+F180+F181+F182+F183+F184+F185+F186+F187+F188</f>
        <v>0</v>
      </c>
      <c r="H179" s="4">
        <f t="shared" si="11"/>
        <v>0</v>
      </c>
    </row>
    <row r="180" spans="1:8" s="14" customFormat="1">
      <c r="A180" s="102" t="s">
        <v>204</v>
      </c>
      <c r="B180" s="82" t="s">
        <v>169</v>
      </c>
      <c r="C180" s="24">
        <f t="shared" ref="C180:C190" si="14">+D180+E180+F180</f>
        <v>0</v>
      </c>
      <c r="D180" s="20"/>
      <c r="E180" s="13"/>
      <c r="F180" s="16"/>
      <c r="H180" s="14">
        <f t="shared" si="11"/>
        <v>0</v>
      </c>
    </row>
    <row r="181" spans="1:8" s="14" customFormat="1">
      <c r="A181" s="102" t="s">
        <v>205</v>
      </c>
      <c r="B181" s="82" t="s">
        <v>170</v>
      </c>
      <c r="C181" s="24">
        <f t="shared" si="14"/>
        <v>0</v>
      </c>
      <c r="D181" s="20"/>
      <c r="E181" s="13"/>
      <c r="F181" s="16"/>
      <c r="H181" s="14">
        <f t="shared" si="11"/>
        <v>0</v>
      </c>
    </row>
    <row r="182" spans="1:8" s="14" customFormat="1">
      <c r="A182" s="102" t="s">
        <v>206</v>
      </c>
      <c r="B182" s="82" t="s">
        <v>171</v>
      </c>
      <c r="C182" s="24">
        <f t="shared" si="14"/>
        <v>0</v>
      </c>
      <c r="D182" s="20"/>
      <c r="E182" s="13"/>
      <c r="F182" s="16"/>
      <c r="H182" s="14">
        <f t="shared" si="11"/>
        <v>0</v>
      </c>
    </row>
    <row r="183" spans="1:8" s="14" customFormat="1">
      <c r="A183" s="102" t="s">
        <v>207</v>
      </c>
      <c r="B183" s="82" t="s">
        <v>172</v>
      </c>
      <c r="C183" s="24">
        <f t="shared" si="14"/>
        <v>0</v>
      </c>
      <c r="D183" s="20"/>
      <c r="E183" s="13"/>
      <c r="F183" s="16"/>
      <c r="H183" s="14">
        <f t="shared" si="11"/>
        <v>0</v>
      </c>
    </row>
    <row r="184" spans="1:8" s="14" customFormat="1">
      <c r="A184" s="127" t="s">
        <v>208</v>
      </c>
      <c r="B184" s="128" t="s">
        <v>173</v>
      </c>
      <c r="C184" s="24">
        <f t="shared" si="14"/>
        <v>0</v>
      </c>
      <c r="D184" s="807"/>
      <c r="E184" s="808"/>
      <c r="F184" s="809"/>
      <c r="H184" s="140">
        <f t="shared" si="11"/>
        <v>0</v>
      </c>
    </row>
    <row r="185" spans="1:8" s="14" customFormat="1">
      <c r="A185" s="102" t="s">
        <v>209</v>
      </c>
      <c r="B185" s="82" t="s">
        <v>178</v>
      </c>
      <c r="C185" s="24">
        <f t="shared" si="14"/>
        <v>0</v>
      </c>
      <c r="D185" s="807"/>
      <c r="E185" s="808"/>
      <c r="F185" s="809"/>
      <c r="H185" s="14">
        <f t="shared" si="11"/>
        <v>0</v>
      </c>
    </row>
    <row r="186" spans="1:8" s="14" customFormat="1">
      <c r="A186" s="102" t="s">
        <v>210</v>
      </c>
      <c r="B186" s="82" t="s">
        <v>174</v>
      </c>
      <c r="C186" s="24">
        <f t="shared" si="14"/>
        <v>0</v>
      </c>
      <c r="D186" s="807"/>
      <c r="E186" s="808"/>
      <c r="F186" s="809"/>
      <c r="H186" s="14">
        <f t="shared" si="11"/>
        <v>0</v>
      </c>
    </row>
    <row r="187" spans="1:8" s="14" customFormat="1">
      <c r="A187" s="102" t="s">
        <v>211</v>
      </c>
      <c r="B187" s="82" t="s">
        <v>175</v>
      </c>
      <c r="C187" s="24">
        <f t="shared" si="14"/>
        <v>0</v>
      </c>
      <c r="D187" s="807"/>
      <c r="E187" s="808"/>
      <c r="F187" s="809"/>
      <c r="H187" s="14">
        <f t="shared" si="11"/>
        <v>0</v>
      </c>
    </row>
    <row r="188" spans="1:8" s="14" customFormat="1">
      <c r="A188" s="102" t="s">
        <v>935</v>
      </c>
      <c r="B188" s="82" t="s">
        <v>937</v>
      </c>
      <c r="C188" s="24">
        <f>+D188+E188+F188</f>
        <v>0</v>
      </c>
      <c r="D188" s="807"/>
      <c r="E188" s="808"/>
      <c r="F188" s="809"/>
      <c r="H188" s="14">
        <f t="shared" si="11"/>
        <v>0</v>
      </c>
    </row>
    <row r="189" spans="1:8">
      <c r="A189" s="101" t="s">
        <v>76</v>
      </c>
      <c r="B189" s="83" t="s">
        <v>176</v>
      </c>
      <c r="C189" s="23">
        <f t="shared" si="14"/>
        <v>0</v>
      </c>
      <c r="D189" s="1329"/>
      <c r="E189" s="1330"/>
      <c r="F189" s="1331"/>
      <c r="H189" s="4">
        <f t="shared" si="11"/>
        <v>0</v>
      </c>
    </row>
    <row r="190" spans="1:8">
      <c r="A190" s="94" t="s">
        <v>77</v>
      </c>
      <c r="B190" s="84" t="s">
        <v>177</v>
      </c>
      <c r="C190" s="26">
        <f t="shared" si="14"/>
        <v>0</v>
      </c>
      <c r="D190" s="1332"/>
      <c r="E190" s="1333"/>
      <c r="F190" s="1334"/>
      <c r="H190" s="4">
        <f t="shared" si="11"/>
        <v>0</v>
      </c>
    </row>
    <row r="191" spans="1:8" ht="12.75" thickBot="1">
      <c r="A191" s="94" t="s">
        <v>940</v>
      </c>
      <c r="B191" s="84" t="s">
        <v>938</v>
      </c>
      <c r="C191" s="26">
        <f>+D191+E191+F191</f>
        <v>0</v>
      </c>
      <c r="D191" s="1332"/>
      <c r="E191" s="1333"/>
      <c r="F191" s="1334"/>
      <c r="H191" s="4">
        <f t="shared" si="11"/>
        <v>0</v>
      </c>
    </row>
    <row r="192" spans="1:8" s="3" customFormat="1" ht="12.75" thickBot="1">
      <c r="A192" s="99" t="s">
        <v>44</v>
      </c>
      <c r="B192" s="85" t="s">
        <v>315</v>
      </c>
      <c r="C192" s="44">
        <f>+C193</f>
        <v>0</v>
      </c>
      <c r="D192" s="131">
        <f>+D193</f>
        <v>0</v>
      </c>
      <c r="E192" s="132">
        <f>+E193</f>
        <v>0</v>
      </c>
      <c r="F192" s="133">
        <f>+F193</f>
        <v>0</v>
      </c>
      <c r="H192" s="3">
        <f t="shared" si="11"/>
        <v>0</v>
      </c>
    </row>
    <row r="193" spans="1:8" s="3" customFormat="1" ht="12.75" thickBot="1">
      <c r="A193" s="99" t="s">
        <v>43</v>
      </c>
      <c r="B193" s="80" t="s">
        <v>936</v>
      </c>
      <c r="C193" s="44">
        <f>+C194+C204+C205+C206</f>
        <v>0</v>
      </c>
      <c r="D193" s="33">
        <f>+D194+D204+D205+D206</f>
        <v>0</v>
      </c>
      <c r="E193" s="34">
        <f>+E194+E204+E205+E206</f>
        <v>0</v>
      </c>
      <c r="F193" s="35">
        <f>+F194+F204+F205+F206</f>
        <v>0</v>
      </c>
      <c r="H193" s="3">
        <f t="shared" si="11"/>
        <v>0</v>
      </c>
    </row>
    <row r="194" spans="1:8">
      <c r="A194" s="100" t="s">
        <v>78</v>
      </c>
      <c r="B194" s="81" t="s">
        <v>971</v>
      </c>
      <c r="C194" s="36">
        <f>+C195+C196+C197+C198+C199+C200+C201+C202+C203</f>
        <v>0</v>
      </c>
      <c r="D194" s="41">
        <f>+D195+D196+D197+D198+D199+D200+D201+D202+D203</f>
        <v>0</v>
      </c>
      <c r="E194" s="11">
        <f>+E195+E196+E197+E198+E199+E200+E201+E202+E203</f>
        <v>0</v>
      </c>
      <c r="F194" s="42">
        <f>+F195+F196+F197+F198+F199+F200+F201+F202+F203</f>
        <v>0</v>
      </c>
      <c r="H194" s="4">
        <f t="shared" si="11"/>
        <v>0</v>
      </c>
    </row>
    <row r="195" spans="1:8" s="14" customFormat="1">
      <c r="A195" s="102" t="s">
        <v>212</v>
      </c>
      <c r="B195" s="82" t="s">
        <v>169</v>
      </c>
      <c r="C195" s="24">
        <f t="shared" ref="C195:C205" si="15">+D195+E195+F195</f>
        <v>0</v>
      </c>
      <c r="D195" s="807"/>
      <c r="E195" s="808"/>
      <c r="F195" s="809"/>
      <c r="H195" s="14">
        <f t="shared" si="11"/>
        <v>0</v>
      </c>
    </row>
    <row r="196" spans="1:8" s="14" customFormat="1">
      <c r="A196" s="102" t="s">
        <v>213</v>
      </c>
      <c r="B196" s="82" t="s">
        <v>170</v>
      </c>
      <c r="C196" s="24">
        <f t="shared" si="15"/>
        <v>0</v>
      </c>
      <c r="D196" s="807"/>
      <c r="E196" s="808"/>
      <c r="F196" s="809"/>
      <c r="H196" s="14">
        <f t="shared" si="11"/>
        <v>0</v>
      </c>
    </row>
    <row r="197" spans="1:8" s="14" customFormat="1">
      <c r="A197" s="102" t="s">
        <v>214</v>
      </c>
      <c r="B197" s="82" t="s">
        <v>171</v>
      </c>
      <c r="C197" s="24">
        <f t="shared" si="15"/>
        <v>0</v>
      </c>
      <c r="D197" s="807"/>
      <c r="E197" s="808"/>
      <c r="F197" s="809"/>
      <c r="H197" s="14">
        <f t="shared" si="11"/>
        <v>0</v>
      </c>
    </row>
    <row r="198" spans="1:8" s="14" customFormat="1">
      <c r="A198" s="102" t="s">
        <v>215</v>
      </c>
      <c r="B198" s="82" t="s">
        <v>172</v>
      </c>
      <c r="C198" s="24">
        <f t="shared" si="15"/>
        <v>0</v>
      </c>
      <c r="D198" s="807"/>
      <c r="E198" s="808"/>
      <c r="F198" s="809"/>
      <c r="H198" s="14">
        <f t="shared" si="11"/>
        <v>0</v>
      </c>
    </row>
    <row r="199" spans="1:8" s="14" customFormat="1">
      <c r="A199" s="127" t="s">
        <v>216</v>
      </c>
      <c r="B199" s="128" t="s">
        <v>173</v>
      </c>
      <c r="C199" s="24">
        <f t="shared" si="15"/>
        <v>0</v>
      </c>
      <c r="D199" s="807"/>
      <c r="E199" s="808"/>
      <c r="F199" s="809"/>
      <c r="H199" s="140">
        <f t="shared" si="11"/>
        <v>0</v>
      </c>
    </row>
    <row r="200" spans="1:8" s="14" customFormat="1">
      <c r="A200" s="102" t="s">
        <v>217</v>
      </c>
      <c r="B200" s="82" t="s">
        <v>178</v>
      </c>
      <c r="C200" s="24">
        <f t="shared" si="15"/>
        <v>0</v>
      </c>
      <c r="D200" s="807"/>
      <c r="E200" s="808"/>
      <c r="F200" s="809"/>
      <c r="H200" s="14">
        <f t="shared" si="11"/>
        <v>0</v>
      </c>
    </row>
    <row r="201" spans="1:8" s="14" customFormat="1">
      <c r="A201" s="102" t="s">
        <v>218</v>
      </c>
      <c r="B201" s="82" t="s">
        <v>174</v>
      </c>
      <c r="C201" s="24">
        <f t="shared" si="15"/>
        <v>0</v>
      </c>
      <c r="D201" s="20"/>
      <c r="E201" s="13"/>
      <c r="F201" s="16"/>
      <c r="H201" s="14">
        <f t="shared" si="11"/>
        <v>0</v>
      </c>
    </row>
    <row r="202" spans="1:8" s="14" customFormat="1">
      <c r="A202" s="102" t="s">
        <v>219</v>
      </c>
      <c r="B202" s="82" t="s">
        <v>175</v>
      </c>
      <c r="C202" s="24">
        <f t="shared" si="15"/>
        <v>0</v>
      </c>
      <c r="D202" s="20"/>
      <c r="E202" s="13"/>
      <c r="F202" s="16"/>
      <c r="H202" s="14">
        <f t="shared" si="11"/>
        <v>0</v>
      </c>
    </row>
    <row r="203" spans="1:8" s="14" customFormat="1">
      <c r="A203" s="102" t="s">
        <v>935</v>
      </c>
      <c r="B203" s="82" t="s">
        <v>937</v>
      </c>
      <c r="C203" s="24">
        <f>+D203+E203+F203</f>
        <v>0</v>
      </c>
      <c r="D203" s="20"/>
      <c r="E203" s="13"/>
      <c r="F203" s="16"/>
      <c r="H203" s="14">
        <f t="shared" ref="H203:H242" si="16">+C203-D203-E203-F203</f>
        <v>0</v>
      </c>
    </row>
    <row r="204" spans="1:8">
      <c r="A204" s="101" t="s">
        <v>79</v>
      </c>
      <c r="B204" s="83" t="s">
        <v>176</v>
      </c>
      <c r="C204" s="23">
        <f t="shared" si="15"/>
        <v>0</v>
      </c>
      <c r="D204" s="21"/>
      <c r="E204" s="12"/>
      <c r="F204" s="17"/>
      <c r="H204" s="4">
        <f t="shared" si="16"/>
        <v>0</v>
      </c>
    </row>
    <row r="205" spans="1:8">
      <c r="A205" s="94" t="s">
        <v>220</v>
      </c>
      <c r="B205" s="84" t="s">
        <v>177</v>
      </c>
      <c r="C205" s="26">
        <f t="shared" si="15"/>
        <v>0</v>
      </c>
      <c r="D205" s="27"/>
      <c r="E205" s="28"/>
      <c r="F205" s="29"/>
      <c r="H205" s="4">
        <f t="shared" si="16"/>
        <v>0</v>
      </c>
    </row>
    <row r="206" spans="1:8" ht="12.75" thickBot="1">
      <c r="A206" s="94" t="s">
        <v>939</v>
      </c>
      <c r="B206" s="84" t="s">
        <v>938</v>
      </c>
      <c r="C206" s="26">
        <f>+D206+E206+F206</f>
        <v>0</v>
      </c>
      <c r="D206" s="27"/>
      <c r="E206" s="28"/>
      <c r="F206" s="29"/>
      <c r="H206" s="4">
        <f t="shared" si="16"/>
        <v>0</v>
      </c>
    </row>
    <row r="207" spans="1:8" s="3" customFormat="1" ht="12.75" thickBot="1">
      <c r="A207" s="99" t="s">
        <v>40</v>
      </c>
      <c r="B207" s="85" t="s">
        <v>316</v>
      </c>
      <c r="C207" s="44">
        <f>+C177+C192</f>
        <v>0</v>
      </c>
      <c r="D207" s="33">
        <f>+D177+D192</f>
        <v>0</v>
      </c>
      <c r="E207" s="34">
        <f>+E177+E192</f>
        <v>0</v>
      </c>
      <c r="F207" s="35">
        <f>+F177+F192</f>
        <v>0</v>
      </c>
      <c r="H207" s="3">
        <f t="shared" si="16"/>
        <v>0</v>
      </c>
    </row>
    <row r="208" spans="1:8" s="3" customFormat="1" ht="12.75" thickBot="1">
      <c r="A208" s="103" t="s">
        <v>39</v>
      </c>
      <c r="B208" s="87" t="s">
        <v>334</v>
      </c>
      <c r="C208" s="45">
        <f>+C176+C207</f>
        <v>429317</v>
      </c>
      <c r="D208" s="30">
        <f>+D176+D207</f>
        <v>429317</v>
      </c>
      <c r="E208" s="31">
        <f>+E176+E207</f>
        <v>0</v>
      </c>
      <c r="F208" s="32">
        <f>+F176+F207</f>
        <v>0</v>
      </c>
      <c r="H208" s="3">
        <f t="shared" si="16"/>
        <v>0</v>
      </c>
    </row>
    <row r="211" spans="1:28" s="1" customFormat="1" ht="15.75">
      <c r="A211" s="1211" t="s">
        <v>89</v>
      </c>
      <c r="B211" s="1211"/>
      <c r="C211" s="1211"/>
      <c r="D211" s="1211"/>
      <c r="E211" s="1211"/>
      <c r="F211" s="121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s="46" customFormat="1" ht="12.75" thickBot="1">
      <c r="A212" s="48" t="s">
        <v>281</v>
      </c>
      <c r="F212" s="47" t="s">
        <v>280</v>
      </c>
    </row>
    <row r="213" spans="1:28" s="3" customFormat="1" ht="12.75" thickBot="1">
      <c r="A213" s="99" t="s">
        <v>4</v>
      </c>
      <c r="B213" s="85" t="s">
        <v>317</v>
      </c>
      <c r="C213" s="44">
        <f>+C214+C215</f>
        <v>-407746</v>
      </c>
      <c r="D213" s="33">
        <f>+D214+D215</f>
        <v>-407746</v>
      </c>
      <c r="E213" s="34">
        <f>+E214+E215</f>
        <v>0</v>
      </c>
      <c r="F213" s="35">
        <f>+F214+F215</f>
        <v>0</v>
      </c>
      <c r="H213" s="3">
        <f t="shared" si="16"/>
        <v>0</v>
      </c>
    </row>
    <row r="214" spans="1:28">
      <c r="A214" s="100" t="s">
        <v>81</v>
      </c>
      <c r="B214" s="88" t="s">
        <v>318</v>
      </c>
      <c r="C214" s="36">
        <f>+C10-C109</f>
        <v>-406646</v>
      </c>
      <c r="D214" s="41">
        <f>+D10-D109</f>
        <v>-406646</v>
      </c>
      <c r="E214" s="11">
        <f>+E10-E109</f>
        <v>0</v>
      </c>
      <c r="F214" s="42">
        <f>+F10-F109</f>
        <v>0</v>
      </c>
      <c r="H214" s="4">
        <f t="shared" si="16"/>
        <v>0</v>
      </c>
    </row>
    <row r="215" spans="1:28" ht="12.75" thickBot="1">
      <c r="A215" s="104" t="s">
        <v>82</v>
      </c>
      <c r="B215" s="89" t="s">
        <v>319</v>
      </c>
      <c r="C215" s="25">
        <f>+C50-C149</f>
        <v>-1100</v>
      </c>
      <c r="D215" s="51">
        <f>+D50-D149</f>
        <v>-1100</v>
      </c>
      <c r="E215" s="18">
        <f>+E50-E149</f>
        <v>0</v>
      </c>
      <c r="F215" s="50">
        <f>+F50-F149</f>
        <v>0</v>
      </c>
      <c r="H215" s="4">
        <f t="shared" si="16"/>
        <v>0</v>
      </c>
    </row>
    <row r="218" spans="1:28" s="1" customFormat="1" ht="15.75">
      <c r="A218" s="1211" t="s">
        <v>90</v>
      </c>
      <c r="B218" s="1211"/>
      <c r="C218" s="1211"/>
      <c r="D218" s="1211"/>
      <c r="E218" s="1211"/>
      <c r="F218" s="121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s="46" customFormat="1" ht="12.75" thickBot="1">
      <c r="A219" s="48" t="s">
        <v>282</v>
      </c>
      <c r="F219" s="47" t="s">
        <v>280</v>
      </c>
    </row>
    <row r="220" spans="1:28" s="3" customFormat="1" ht="12.75" thickBot="1">
      <c r="A220" s="99" t="s">
        <v>4</v>
      </c>
      <c r="B220" s="85" t="s">
        <v>320</v>
      </c>
      <c r="C220" s="44">
        <f>+C221+C228</f>
        <v>407746</v>
      </c>
      <c r="D220" s="33">
        <f>+D221+D228</f>
        <v>407746</v>
      </c>
      <c r="E220" s="34">
        <f>+E221+E228</f>
        <v>0</v>
      </c>
      <c r="F220" s="35">
        <f>+F221+F228</f>
        <v>0</v>
      </c>
      <c r="H220" s="3">
        <f t="shared" si="16"/>
        <v>0</v>
      </c>
    </row>
    <row r="221" spans="1:28" s="3" customFormat="1" ht="12.75" thickBot="1">
      <c r="A221" s="99" t="s">
        <v>5</v>
      </c>
      <c r="B221" s="80" t="s">
        <v>321</v>
      </c>
      <c r="C221" s="44">
        <f>+C222-C225</f>
        <v>406646</v>
      </c>
      <c r="D221" s="33">
        <f>+D222-D225</f>
        <v>406646</v>
      </c>
      <c r="E221" s="34">
        <f>+E222-E225</f>
        <v>0</v>
      </c>
      <c r="F221" s="35">
        <f>+F222-F225</f>
        <v>0</v>
      </c>
      <c r="H221" s="3">
        <f t="shared" si="16"/>
        <v>0</v>
      </c>
    </row>
    <row r="222" spans="1:28">
      <c r="A222" s="100" t="s">
        <v>54</v>
      </c>
      <c r="B222" s="81" t="s">
        <v>322</v>
      </c>
      <c r="C222" s="36">
        <f>+C223+C224</f>
        <v>406646</v>
      </c>
      <c r="D222" s="41">
        <f>+D223+D224</f>
        <v>406646</v>
      </c>
      <c r="E222" s="11">
        <f>+E223+E224</f>
        <v>0</v>
      </c>
      <c r="F222" s="42">
        <f>+F223+F224</f>
        <v>0</v>
      </c>
      <c r="H222" s="4">
        <f t="shared" si="16"/>
        <v>0</v>
      </c>
    </row>
    <row r="223" spans="1:28" s="14" customFormat="1">
      <c r="A223" s="102" t="s">
        <v>189</v>
      </c>
      <c r="B223" s="82" t="s">
        <v>284</v>
      </c>
      <c r="C223" s="24">
        <f>+C76+C80</f>
        <v>0</v>
      </c>
      <c r="D223" s="20">
        <f>+D76+D80</f>
        <v>0</v>
      </c>
      <c r="E223" s="13">
        <f>+E76+E80</f>
        <v>0</v>
      </c>
      <c r="F223" s="16">
        <f>+F76+F80</f>
        <v>0</v>
      </c>
      <c r="H223" s="14">
        <f t="shared" si="16"/>
        <v>0</v>
      </c>
    </row>
    <row r="224" spans="1:28" s="14" customFormat="1">
      <c r="A224" s="102" t="s">
        <v>190</v>
      </c>
      <c r="B224" s="82" t="s">
        <v>285</v>
      </c>
      <c r="C224" s="24">
        <f>+C74+C75+C77+C78+C79+C81</f>
        <v>406646</v>
      </c>
      <c r="D224" s="20">
        <f>+D74+D75+D77+D78+D79+D81</f>
        <v>406646</v>
      </c>
      <c r="E224" s="13">
        <f>+E74+E75+E77+E78+E79+E81</f>
        <v>0</v>
      </c>
      <c r="F224" s="16">
        <f>+F74+F75+F77+F78+F79+F81</f>
        <v>0</v>
      </c>
      <c r="H224" s="14">
        <f t="shared" si="16"/>
        <v>0</v>
      </c>
    </row>
    <row r="225" spans="1:28">
      <c r="A225" s="101" t="s">
        <v>55</v>
      </c>
      <c r="B225" s="83" t="s">
        <v>323</v>
      </c>
      <c r="C225" s="23">
        <f>+C227</f>
        <v>0</v>
      </c>
      <c r="D225" s="21">
        <f>+D227</f>
        <v>0</v>
      </c>
      <c r="E225" s="12">
        <f>+E227</f>
        <v>0</v>
      </c>
      <c r="F225" s="17">
        <f>+F227</f>
        <v>0</v>
      </c>
      <c r="H225" s="4">
        <f t="shared" si="16"/>
        <v>0</v>
      </c>
    </row>
    <row r="226" spans="1:28" s="14" customFormat="1">
      <c r="A226" s="102" t="s">
        <v>56</v>
      </c>
      <c r="B226" s="82" t="s">
        <v>286</v>
      </c>
      <c r="C226" s="24">
        <f>+C185</f>
        <v>0</v>
      </c>
      <c r="D226" s="20">
        <f>+D185</f>
        <v>0</v>
      </c>
      <c r="E226" s="13">
        <f>+E185</f>
        <v>0</v>
      </c>
      <c r="F226" s="16">
        <f>+F185</f>
        <v>0</v>
      </c>
      <c r="H226" s="14">
        <f t="shared" si="16"/>
        <v>0</v>
      </c>
    </row>
    <row r="227" spans="1:28" s="14" customFormat="1" ht="12.75" thickBot="1">
      <c r="A227" s="105" t="s">
        <v>57</v>
      </c>
      <c r="B227" s="90" t="s">
        <v>287</v>
      </c>
      <c r="C227" s="58">
        <f>+C180+C181+C182+C183+C184+C186+C187</f>
        <v>0</v>
      </c>
      <c r="D227" s="56">
        <f>+D180+D181+D182+D183+D184+D186+D187</f>
        <v>0</v>
      </c>
      <c r="E227" s="54">
        <f>+E180+E181+E182+E183+E184+E186+E187</f>
        <v>0</v>
      </c>
      <c r="F227" s="55">
        <f>+F180+F181+F182+F183+F184+F186+F187</f>
        <v>0</v>
      </c>
      <c r="H227" s="14">
        <f t="shared" si="16"/>
        <v>0</v>
      </c>
    </row>
    <row r="228" spans="1:28" s="3" customFormat="1" ht="12.75" thickBot="1">
      <c r="A228" s="99" t="s">
        <v>6</v>
      </c>
      <c r="B228" s="80" t="s">
        <v>324</v>
      </c>
      <c r="C228" s="44">
        <f>+C229-C232</f>
        <v>1100</v>
      </c>
      <c r="D228" s="33">
        <f>+D229-D232</f>
        <v>1100</v>
      </c>
      <c r="E228" s="34">
        <f>+E229-E232</f>
        <v>0</v>
      </c>
      <c r="F228" s="35">
        <f>+F229-F232</f>
        <v>0</v>
      </c>
      <c r="H228" s="3">
        <f t="shared" si="16"/>
        <v>0</v>
      </c>
    </row>
    <row r="229" spans="1:28">
      <c r="A229" s="100" t="s">
        <v>58</v>
      </c>
      <c r="B229" s="81" t="s">
        <v>325</v>
      </c>
      <c r="C229" s="36">
        <f>+C230+C231</f>
        <v>1100</v>
      </c>
      <c r="D229" s="41">
        <f>+D230+D231</f>
        <v>1100</v>
      </c>
      <c r="E229" s="11">
        <f>+E230+E231</f>
        <v>0</v>
      </c>
      <c r="F229" s="42">
        <f>+F230+F231</f>
        <v>0</v>
      </c>
      <c r="H229" s="4">
        <f t="shared" si="16"/>
        <v>0</v>
      </c>
    </row>
    <row r="230" spans="1:28" s="14" customFormat="1">
      <c r="A230" s="102" t="s">
        <v>292</v>
      </c>
      <c r="B230" s="82" t="s">
        <v>290</v>
      </c>
      <c r="C230" s="24">
        <f>+C91+C95</f>
        <v>0</v>
      </c>
      <c r="D230" s="20">
        <f>+D91+D95</f>
        <v>0</v>
      </c>
      <c r="E230" s="13">
        <f>+E91+E95</f>
        <v>0</v>
      </c>
      <c r="F230" s="16">
        <f>+F91+F95</f>
        <v>0</v>
      </c>
      <c r="H230" s="14">
        <f t="shared" si="16"/>
        <v>0</v>
      </c>
    </row>
    <row r="231" spans="1:28" s="14" customFormat="1">
      <c r="A231" s="102" t="s">
        <v>293</v>
      </c>
      <c r="B231" s="82" t="s">
        <v>291</v>
      </c>
      <c r="C231" s="24">
        <f>+C89+C90+C92+C93+C94+C96</f>
        <v>1100</v>
      </c>
      <c r="D231" s="20">
        <f>+D89+D90+D92+D93+D94+D96</f>
        <v>1100</v>
      </c>
      <c r="E231" s="13">
        <f>+E89+E90+E92+E93+E94+E96</f>
        <v>0</v>
      </c>
      <c r="F231" s="16">
        <f>+F89+F90+F92+F93+F94+F96</f>
        <v>0</v>
      </c>
      <c r="H231" s="14">
        <f t="shared" si="16"/>
        <v>0</v>
      </c>
    </row>
    <row r="232" spans="1:28">
      <c r="A232" s="101" t="s">
        <v>59</v>
      </c>
      <c r="B232" s="83" t="s">
        <v>326</v>
      </c>
      <c r="C232" s="23">
        <f>+C233+C234</f>
        <v>0</v>
      </c>
      <c r="D232" s="21">
        <f>+D233+D234</f>
        <v>0</v>
      </c>
      <c r="E232" s="12">
        <f>+E233+E234</f>
        <v>0</v>
      </c>
      <c r="F232" s="17">
        <f>+F233+F234</f>
        <v>0</v>
      </c>
      <c r="H232" s="4">
        <f t="shared" si="16"/>
        <v>0</v>
      </c>
    </row>
    <row r="233" spans="1:28" s="14" customFormat="1">
      <c r="A233" s="102" t="s">
        <v>294</v>
      </c>
      <c r="B233" s="82" t="s">
        <v>288</v>
      </c>
      <c r="C233" s="24">
        <f>+C200</f>
        <v>0</v>
      </c>
      <c r="D233" s="20">
        <f>+D200</f>
        <v>0</v>
      </c>
      <c r="E233" s="13">
        <f>+E200</f>
        <v>0</v>
      </c>
      <c r="F233" s="16">
        <f>+F200</f>
        <v>0</v>
      </c>
      <c r="H233" s="14">
        <f t="shared" si="16"/>
        <v>0</v>
      </c>
    </row>
    <row r="234" spans="1:28" s="14" customFormat="1" ht="12.75" thickBot="1">
      <c r="A234" s="106" t="s">
        <v>295</v>
      </c>
      <c r="B234" s="91" t="s">
        <v>289</v>
      </c>
      <c r="C234" s="59">
        <f>+C195+C196+C197+C198+C199+C201+C202</f>
        <v>0</v>
      </c>
      <c r="D234" s="57">
        <f>+D195+D196+D197+D198+D199+D201+D202</f>
        <v>0</v>
      </c>
      <c r="E234" s="52">
        <f>+E195+E196+E197+E198+E199+E201+E202</f>
        <v>0</v>
      </c>
      <c r="F234" s="53">
        <f>+F195+F196+F197+F198+F199+F201+F202</f>
        <v>0</v>
      </c>
      <c r="H234" s="14">
        <f t="shared" si="16"/>
        <v>0</v>
      </c>
    </row>
    <row r="237" spans="1:28" s="1" customFormat="1" ht="15.75">
      <c r="A237" s="1211" t="s">
        <v>1460</v>
      </c>
      <c r="B237" s="1211"/>
      <c r="C237" s="1211"/>
      <c r="D237" s="1211"/>
      <c r="E237" s="1211"/>
      <c r="F237" s="121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spans="1:28" s="46" customFormat="1" ht="12.75" thickBot="1">
      <c r="A238" s="48" t="s">
        <v>283</v>
      </c>
      <c r="F238" s="47"/>
    </row>
    <row r="239" spans="1:28" s="3" customFormat="1">
      <c r="A239" s="107" t="s">
        <v>4</v>
      </c>
      <c r="B239" s="92" t="s">
        <v>91</v>
      </c>
      <c r="C239" s="67">
        <f>+D239+E239+F239</f>
        <v>69</v>
      </c>
      <c r="D239" s="68">
        <v>69</v>
      </c>
      <c r="E239" s="69"/>
      <c r="F239" s="70"/>
      <c r="H239" s="3">
        <f t="shared" si="16"/>
        <v>0</v>
      </c>
    </row>
    <row r="240" spans="1:28" s="14" customFormat="1">
      <c r="A240" s="105" t="s">
        <v>350</v>
      </c>
      <c r="B240" s="116" t="s">
        <v>351</v>
      </c>
      <c r="C240" s="117">
        <f>+D240+E240+F240</f>
        <v>0</v>
      </c>
      <c r="D240" s="118"/>
      <c r="E240" s="119"/>
      <c r="F240" s="120"/>
      <c r="H240" s="14">
        <f t="shared" si="16"/>
        <v>0</v>
      </c>
    </row>
    <row r="241" spans="1:8" s="3" customFormat="1" ht="12.75" thickBot="1">
      <c r="A241" s="108" t="s">
        <v>5</v>
      </c>
      <c r="B241" s="93" t="s">
        <v>92</v>
      </c>
      <c r="C241" s="71">
        <f>+D241+E241+F241</f>
        <v>0</v>
      </c>
      <c r="D241" s="72"/>
      <c r="E241" s="73"/>
      <c r="F241" s="74"/>
      <c r="H241" s="3">
        <f t="shared" si="16"/>
        <v>0</v>
      </c>
    </row>
    <row r="242" spans="1:8" s="3" customFormat="1" ht="12.75" thickBot="1">
      <c r="A242" s="99" t="s">
        <v>6</v>
      </c>
      <c r="B242" s="85" t="s">
        <v>329</v>
      </c>
      <c r="C242" s="75">
        <f>+C239+C241</f>
        <v>69</v>
      </c>
      <c r="D242" s="76">
        <f>+D239+D241</f>
        <v>69</v>
      </c>
      <c r="E242" s="77">
        <f>+E239+E241</f>
        <v>0</v>
      </c>
      <c r="F242" s="78">
        <f>+F239+F241</f>
        <v>0</v>
      </c>
      <c r="H242" s="3">
        <f t="shared" si="16"/>
        <v>0</v>
      </c>
    </row>
  </sheetData>
  <mergeCells count="9">
    <mergeCell ref="A211:F211"/>
    <mergeCell ref="A218:F218"/>
    <mergeCell ref="A237:F237"/>
    <mergeCell ref="A3:F3"/>
    <mergeCell ref="A4:F4"/>
    <mergeCell ref="A6:F6"/>
    <mergeCell ref="C9:F9"/>
    <mergeCell ref="A105:F105"/>
    <mergeCell ref="C108:F108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44" fitToHeight="2" orientation="portrait" r:id="rId1"/>
  <headerFooter>
    <oddHeader>&amp;C 1.3. melléklet - &amp;P. oldal</oddHeader>
  </headerFooter>
  <rowBreaks count="1" manualBreakCount="1">
    <brk id="10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 codeName="Munka12">
    <tabColor rgb="FF00B0F0"/>
  </sheetPr>
  <dimension ref="A1:AB242"/>
  <sheetViews>
    <sheetView zoomScaleNormal="100" workbookViewId="0"/>
  </sheetViews>
  <sheetFormatPr defaultColWidth="9.140625" defaultRowHeight="12"/>
  <cols>
    <col min="1" max="1" width="6.5703125" style="4" customWidth="1"/>
    <col min="2" max="2" width="109.5703125" style="4" bestFit="1" customWidth="1"/>
    <col min="3" max="6" width="9.28515625" style="4" customWidth="1"/>
    <col min="7" max="7" width="9.140625" style="4"/>
    <col min="8" max="8" width="9.140625" style="4" hidden="1" customWidth="1"/>
    <col min="9" max="16384" width="9.140625" style="4"/>
  </cols>
  <sheetData>
    <row r="1" spans="1:8" s="63" customFormat="1" ht="15.75">
      <c r="F1" s="64" t="s">
        <v>357</v>
      </c>
    </row>
    <row r="2" spans="1:8" s="63" customFormat="1" ht="15.75"/>
    <row r="3" spans="1:8" s="65" customFormat="1" ht="15.75">
      <c r="A3" s="1210" t="s">
        <v>358</v>
      </c>
      <c r="B3" s="1210"/>
      <c r="C3" s="1210"/>
      <c r="D3" s="1210"/>
      <c r="E3" s="1210"/>
      <c r="F3" s="1210"/>
    </row>
    <row r="4" spans="1:8" s="65" customFormat="1" ht="15.75">
      <c r="A4" s="1210" t="s">
        <v>1444</v>
      </c>
      <c r="B4" s="1210"/>
      <c r="C4" s="1210"/>
      <c r="D4" s="1210"/>
      <c r="E4" s="1210"/>
      <c r="F4" s="1210"/>
    </row>
    <row r="5" spans="1:8" s="63" customFormat="1" ht="15.75"/>
    <row r="6" spans="1:8" s="65" customFormat="1" ht="15.75">
      <c r="A6" s="1210" t="s">
        <v>48</v>
      </c>
      <c r="B6" s="1210"/>
      <c r="C6" s="1210"/>
      <c r="D6" s="1210"/>
      <c r="E6" s="1210"/>
      <c r="F6" s="1210"/>
    </row>
    <row r="7" spans="1:8" s="46" customFormat="1" ht="12.75" thickBot="1">
      <c r="A7" s="48" t="s">
        <v>279</v>
      </c>
      <c r="F7" s="47" t="s">
        <v>280</v>
      </c>
    </row>
    <row r="8" spans="1:8" s="9" customFormat="1" ht="54" customHeight="1" thickBot="1">
      <c r="A8" s="95" t="s">
        <v>17</v>
      </c>
      <c r="B8" s="109" t="s">
        <v>327</v>
      </c>
      <c r="C8" s="5" t="s">
        <v>1442</v>
      </c>
      <c r="D8" s="6" t="s">
        <v>51</v>
      </c>
      <c r="E8" s="7" t="s">
        <v>52</v>
      </c>
      <c r="F8" s="8" t="s">
        <v>53</v>
      </c>
    </row>
    <row r="9" spans="1:8" s="3" customFormat="1" ht="12.75" thickBot="1">
      <c r="A9" s="99" t="s">
        <v>252</v>
      </c>
      <c r="B9" s="110" t="s">
        <v>253</v>
      </c>
      <c r="C9" s="1212" t="s">
        <v>254</v>
      </c>
      <c r="D9" s="1213"/>
      <c r="E9" s="1213"/>
      <c r="F9" s="1214"/>
    </row>
    <row r="10" spans="1:8" s="3" customFormat="1" ht="12.75" thickBot="1">
      <c r="A10" s="111" t="s">
        <v>4</v>
      </c>
      <c r="B10" s="79" t="s">
        <v>296</v>
      </c>
      <c r="C10" s="43">
        <f>+C11+C25+C32+C44</f>
        <v>600</v>
      </c>
      <c r="D10" s="38">
        <f>+D11+D25+D32+D44</f>
        <v>600</v>
      </c>
      <c r="E10" s="39">
        <f>+E11+E25+E32+E44</f>
        <v>0</v>
      </c>
      <c r="F10" s="40">
        <f>+F11+F25+F32+F44</f>
        <v>0</v>
      </c>
      <c r="H10" s="3">
        <f>+C10-D10-E10-F10</f>
        <v>0</v>
      </c>
    </row>
    <row r="11" spans="1:8" s="3" customFormat="1" ht="12.75" customHeight="1" thickBot="1">
      <c r="A11" s="99" t="s">
        <v>5</v>
      </c>
      <c r="B11" s="80" t="s">
        <v>297</v>
      </c>
      <c r="C11" s="44">
        <f>+C12+C19+C20+C21+C22+C23</f>
        <v>0</v>
      </c>
      <c r="D11" s="33">
        <f>+D12+D19+D20+D21+D22+D23</f>
        <v>0</v>
      </c>
      <c r="E11" s="34">
        <f>+E12+E19+E20+E21+E22+E23</f>
        <v>0</v>
      </c>
      <c r="F11" s="35">
        <f>+F12+F19+F20+F21+F22+F23</f>
        <v>0</v>
      </c>
      <c r="H11" s="3">
        <f t="shared" ref="H11:H74" si="0">+C11-D11-E11-F11</f>
        <v>0</v>
      </c>
    </row>
    <row r="12" spans="1:8" s="3" customFormat="1">
      <c r="A12" s="100" t="s">
        <v>54</v>
      </c>
      <c r="B12" s="81" t="s">
        <v>298</v>
      </c>
      <c r="C12" s="36">
        <f>+C13+C14+C15+C16+C17+C18</f>
        <v>0</v>
      </c>
      <c r="D12" s="19">
        <f>+D13+D14+D15+D16+D17+D18</f>
        <v>0</v>
      </c>
      <c r="E12" s="10">
        <f>+E13+E14+E15+E16+E17+E18</f>
        <v>0</v>
      </c>
      <c r="F12" s="15">
        <f>+F13+F14+F15+F16+F17+F18</f>
        <v>0</v>
      </c>
      <c r="H12" s="4">
        <f t="shared" si="0"/>
        <v>0</v>
      </c>
    </row>
    <row r="13" spans="1:8" s="14" customFormat="1">
      <c r="A13" s="102" t="s">
        <v>189</v>
      </c>
      <c r="B13" s="82" t="s">
        <v>93</v>
      </c>
      <c r="C13" s="24">
        <f>+D13+E13+F13</f>
        <v>0</v>
      </c>
      <c r="D13" s="20"/>
      <c r="E13" s="13"/>
      <c r="F13" s="16"/>
      <c r="H13" s="14">
        <f t="shared" si="0"/>
        <v>0</v>
      </c>
    </row>
    <row r="14" spans="1:8" s="14" customFormat="1">
      <c r="A14" s="102" t="s">
        <v>190</v>
      </c>
      <c r="B14" s="82" t="s">
        <v>94</v>
      </c>
      <c r="C14" s="24">
        <f t="shared" ref="C14:C24" si="1">+D14+E14+F14</f>
        <v>0</v>
      </c>
      <c r="D14" s="20"/>
      <c r="E14" s="13"/>
      <c r="F14" s="16"/>
      <c r="H14" s="14">
        <f t="shared" si="0"/>
        <v>0</v>
      </c>
    </row>
    <row r="15" spans="1:8" s="14" customFormat="1">
      <c r="A15" s="102" t="s">
        <v>191</v>
      </c>
      <c r="B15" s="82" t="s">
        <v>95</v>
      </c>
      <c r="C15" s="24">
        <f t="shared" si="1"/>
        <v>0</v>
      </c>
      <c r="D15" s="20"/>
      <c r="E15" s="13"/>
      <c r="F15" s="16"/>
      <c r="H15" s="14">
        <f t="shared" si="0"/>
        <v>0</v>
      </c>
    </row>
    <row r="16" spans="1:8" s="14" customFormat="1">
      <c r="A16" s="102" t="s">
        <v>192</v>
      </c>
      <c r="B16" s="82" t="s">
        <v>96</v>
      </c>
      <c r="C16" s="24">
        <f t="shared" si="1"/>
        <v>0</v>
      </c>
      <c r="D16" s="20"/>
      <c r="E16" s="13"/>
      <c r="F16" s="16"/>
      <c r="H16" s="14">
        <f t="shared" si="0"/>
        <v>0</v>
      </c>
    </row>
    <row r="17" spans="1:8" s="14" customFormat="1">
      <c r="A17" s="102" t="s">
        <v>193</v>
      </c>
      <c r="B17" s="82" t="s">
        <v>895</v>
      </c>
      <c r="C17" s="24">
        <f t="shared" si="1"/>
        <v>0</v>
      </c>
      <c r="D17" s="20"/>
      <c r="E17" s="13"/>
      <c r="F17" s="16"/>
      <c r="H17" s="14">
        <f t="shared" si="0"/>
        <v>0</v>
      </c>
    </row>
    <row r="18" spans="1:8" s="14" customFormat="1">
      <c r="A18" s="102" t="s">
        <v>194</v>
      </c>
      <c r="B18" s="82" t="s">
        <v>896</v>
      </c>
      <c r="C18" s="24">
        <f t="shared" si="1"/>
        <v>0</v>
      </c>
      <c r="D18" s="20"/>
      <c r="E18" s="13"/>
      <c r="F18" s="16"/>
      <c r="H18" s="14">
        <f t="shared" si="0"/>
        <v>0</v>
      </c>
    </row>
    <row r="19" spans="1:8">
      <c r="A19" s="101" t="s">
        <v>55</v>
      </c>
      <c r="B19" s="83" t="s">
        <v>97</v>
      </c>
      <c r="C19" s="23">
        <f t="shared" si="1"/>
        <v>0</v>
      </c>
      <c r="D19" s="21"/>
      <c r="E19" s="12"/>
      <c r="F19" s="17"/>
      <c r="H19" s="4">
        <f t="shared" si="0"/>
        <v>0</v>
      </c>
    </row>
    <row r="20" spans="1:8">
      <c r="A20" s="101" t="s">
        <v>83</v>
      </c>
      <c r="B20" s="83" t="s">
        <v>98</v>
      </c>
      <c r="C20" s="23">
        <f t="shared" si="1"/>
        <v>0</v>
      </c>
      <c r="D20" s="21"/>
      <c r="E20" s="12"/>
      <c r="F20" s="17"/>
      <c r="H20" s="4">
        <f t="shared" si="0"/>
        <v>0</v>
      </c>
    </row>
    <row r="21" spans="1:8">
      <c r="A21" s="101" t="s">
        <v>84</v>
      </c>
      <c r="B21" s="83" t="s">
        <v>99</v>
      </c>
      <c r="C21" s="23">
        <f t="shared" si="1"/>
        <v>0</v>
      </c>
      <c r="D21" s="21"/>
      <c r="E21" s="12"/>
      <c r="F21" s="17"/>
      <c r="H21" s="4">
        <f t="shared" si="0"/>
        <v>0</v>
      </c>
    </row>
    <row r="22" spans="1:8">
      <c r="A22" s="101" t="s">
        <v>85</v>
      </c>
      <c r="B22" s="83" t="s">
        <v>100</v>
      </c>
      <c r="C22" s="23">
        <f t="shared" si="1"/>
        <v>0</v>
      </c>
      <c r="D22" s="21"/>
      <c r="E22" s="12"/>
      <c r="F22" s="17"/>
      <c r="H22" s="4">
        <f t="shared" si="0"/>
        <v>0</v>
      </c>
    </row>
    <row r="23" spans="1:8">
      <c r="A23" s="94" t="s">
        <v>86</v>
      </c>
      <c r="B23" s="84" t="s">
        <v>101</v>
      </c>
      <c r="C23" s="26">
        <f t="shared" si="1"/>
        <v>0</v>
      </c>
      <c r="D23" s="27"/>
      <c r="E23" s="28"/>
      <c r="F23" s="29"/>
      <c r="H23" s="4">
        <f t="shared" si="0"/>
        <v>0</v>
      </c>
    </row>
    <row r="24" spans="1:8" s="14" customFormat="1" ht="12.75" thickBot="1">
      <c r="A24" s="105" t="s">
        <v>331</v>
      </c>
      <c r="B24" s="894" t="s">
        <v>332</v>
      </c>
      <c r="C24" s="58">
        <f t="shared" si="1"/>
        <v>0</v>
      </c>
      <c r="D24" s="56"/>
      <c r="E24" s="54"/>
      <c r="F24" s="55"/>
      <c r="H24" s="14">
        <f t="shared" si="0"/>
        <v>0</v>
      </c>
    </row>
    <row r="25" spans="1:8" s="3" customFormat="1" ht="12.75" customHeight="1" thickBot="1">
      <c r="A25" s="99" t="s">
        <v>6</v>
      </c>
      <c r="B25" s="80" t="s">
        <v>778</v>
      </c>
      <c r="C25" s="44">
        <f>+C26+C27+C28+C29+C30+C31</f>
        <v>0</v>
      </c>
      <c r="D25" s="33">
        <f>+D26+D27+D28+D29+D30+D31</f>
        <v>0</v>
      </c>
      <c r="E25" s="34">
        <f>+E26+E27+E28+E29+E30+E31</f>
        <v>0</v>
      </c>
      <c r="F25" s="35">
        <f>+F26+F27+F28+F29+F30+F31</f>
        <v>0</v>
      </c>
      <c r="H25" s="3">
        <f t="shared" si="0"/>
        <v>0</v>
      </c>
    </row>
    <row r="26" spans="1:8" ht="12.75" customHeight="1">
      <c r="A26" s="100" t="s">
        <v>58</v>
      </c>
      <c r="B26" s="81" t="s">
        <v>102</v>
      </c>
      <c r="C26" s="36">
        <f t="shared" ref="C26:C31" si="2">+D26+E26+F26</f>
        <v>0</v>
      </c>
      <c r="D26" s="41"/>
      <c r="E26" s="11"/>
      <c r="F26" s="42"/>
      <c r="H26" s="4">
        <f t="shared" si="0"/>
        <v>0</v>
      </c>
    </row>
    <row r="27" spans="1:8" ht="12.75" customHeight="1">
      <c r="A27" s="101" t="s">
        <v>59</v>
      </c>
      <c r="B27" s="83" t="s">
        <v>103</v>
      </c>
      <c r="C27" s="23">
        <f t="shared" si="2"/>
        <v>0</v>
      </c>
      <c r="D27" s="21"/>
      <c r="E27" s="12"/>
      <c r="F27" s="17"/>
      <c r="H27" s="4">
        <f t="shared" si="0"/>
        <v>0</v>
      </c>
    </row>
    <row r="28" spans="1:8" ht="12.75" customHeight="1">
      <c r="A28" s="101" t="s">
        <v>60</v>
      </c>
      <c r="B28" s="83" t="s">
        <v>104</v>
      </c>
      <c r="C28" s="23">
        <f t="shared" si="2"/>
        <v>0</v>
      </c>
      <c r="D28" s="21"/>
      <c r="E28" s="12"/>
      <c r="F28" s="17"/>
      <c r="H28" s="4">
        <f t="shared" si="0"/>
        <v>0</v>
      </c>
    </row>
    <row r="29" spans="1:8" ht="12.75" customHeight="1">
      <c r="A29" s="101" t="s">
        <v>179</v>
      </c>
      <c r="B29" s="83" t="s">
        <v>105</v>
      </c>
      <c r="C29" s="23">
        <f t="shared" si="2"/>
        <v>0</v>
      </c>
      <c r="D29" s="21"/>
      <c r="E29" s="12"/>
      <c r="F29" s="17"/>
      <c r="H29" s="4">
        <f t="shared" si="0"/>
        <v>0</v>
      </c>
    </row>
    <row r="30" spans="1:8" ht="12.75" customHeight="1">
      <c r="A30" s="94" t="s">
        <v>180</v>
      </c>
      <c r="B30" s="84" t="s">
        <v>106</v>
      </c>
      <c r="C30" s="26">
        <f t="shared" si="2"/>
        <v>0</v>
      </c>
      <c r="D30" s="21"/>
      <c r="E30" s="12"/>
      <c r="F30" s="17"/>
      <c r="H30" s="4">
        <f t="shared" si="0"/>
        <v>0</v>
      </c>
    </row>
    <row r="31" spans="1:8" ht="12.75" customHeight="1" thickBot="1">
      <c r="A31" s="94" t="s">
        <v>777</v>
      </c>
      <c r="B31" s="84" t="s">
        <v>779</v>
      </c>
      <c r="C31" s="26">
        <f t="shared" si="2"/>
        <v>0</v>
      </c>
      <c r="D31" s="21"/>
      <c r="E31" s="12"/>
      <c r="F31" s="17"/>
      <c r="H31" s="4">
        <f t="shared" si="0"/>
        <v>0</v>
      </c>
    </row>
    <row r="32" spans="1:8" s="3" customFormat="1" ht="12.75" customHeight="1" thickBot="1">
      <c r="A32" s="99" t="s">
        <v>3</v>
      </c>
      <c r="B32" s="80" t="s">
        <v>968</v>
      </c>
      <c r="C32" s="44">
        <f>+C33+C34+C35+C36+C37+C38+C39+C40+C41+C42+C43</f>
        <v>600</v>
      </c>
      <c r="D32" s="33">
        <f>+D33+D34+D35+D36+D37+D38+D39+D40+D41+D42+D43</f>
        <v>600</v>
      </c>
      <c r="E32" s="34">
        <f>+E33+E34+E35+E36+E37+E38+E39+E40+E41+E42+E43</f>
        <v>0</v>
      </c>
      <c r="F32" s="35">
        <f>+F33+F34+F35+F36+F37+F38+F39+F40+F41+F42+F43</f>
        <v>0</v>
      </c>
      <c r="H32" s="3">
        <f t="shared" si="0"/>
        <v>0</v>
      </c>
    </row>
    <row r="33" spans="1:8" ht="12.75" customHeight="1">
      <c r="A33" s="100" t="s">
        <v>61</v>
      </c>
      <c r="B33" s="81" t="s">
        <v>1585</v>
      </c>
      <c r="C33" s="36">
        <f t="shared" ref="C33:C43" si="3">+D33+E33+F33</f>
        <v>0</v>
      </c>
      <c r="D33" s="41"/>
      <c r="E33" s="11"/>
      <c r="F33" s="42"/>
      <c r="H33" s="4">
        <f t="shared" si="0"/>
        <v>0</v>
      </c>
    </row>
    <row r="34" spans="1:8" ht="12.75" customHeight="1">
      <c r="A34" s="101" t="s">
        <v>62</v>
      </c>
      <c r="B34" s="83" t="s">
        <v>107</v>
      </c>
      <c r="C34" s="23">
        <f t="shared" si="3"/>
        <v>600</v>
      </c>
      <c r="D34" s="21">
        <v>600</v>
      </c>
      <c r="E34" s="12"/>
      <c r="F34" s="17"/>
      <c r="H34" s="4">
        <f t="shared" si="0"/>
        <v>0</v>
      </c>
    </row>
    <row r="35" spans="1:8" ht="12.75" customHeight="1">
      <c r="A35" s="101" t="s">
        <v>63</v>
      </c>
      <c r="B35" s="83" t="s">
        <v>108</v>
      </c>
      <c r="C35" s="23">
        <f t="shared" si="3"/>
        <v>0</v>
      </c>
      <c r="D35" s="21"/>
      <c r="E35" s="12"/>
      <c r="F35" s="17"/>
      <c r="H35" s="4">
        <f t="shared" si="0"/>
        <v>0</v>
      </c>
    </row>
    <row r="36" spans="1:8" ht="12.75" customHeight="1">
      <c r="A36" s="101" t="s">
        <v>64</v>
      </c>
      <c r="B36" s="83" t="s">
        <v>109</v>
      </c>
      <c r="C36" s="23">
        <f t="shared" si="3"/>
        <v>0</v>
      </c>
      <c r="D36" s="21"/>
      <c r="E36" s="12"/>
      <c r="F36" s="17"/>
      <c r="H36" s="4">
        <f t="shared" si="0"/>
        <v>0</v>
      </c>
    </row>
    <row r="37" spans="1:8" ht="12.75" customHeight="1">
      <c r="A37" s="101" t="s">
        <v>65</v>
      </c>
      <c r="B37" s="83" t="s">
        <v>110</v>
      </c>
      <c r="C37" s="23">
        <f t="shared" si="3"/>
        <v>0</v>
      </c>
      <c r="D37" s="21"/>
      <c r="E37" s="12"/>
      <c r="F37" s="17"/>
      <c r="H37" s="4">
        <f t="shared" si="0"/>
        <v>0</v>
      </c>
    </row>
    <row r="38" spans="1:8" ht="12.75" customHeight="1">
      <c r="A38" s="101" t="s">
        <v>221</v>
      </c>
      <c r="B38" s="83" t="s">
        <v>111</v>
      </c>
      <c r="C38" s="23">
        <f t="shared" si="3"/>
        <v>0</v>
      </c>
      <c r="D38" s="21"/>
      <c r="E38" s="12"/>
      <c r="F38" s="17"/>
      <c r="H38" s="4">
        <f t="shared" si="0"/>
        <v>0</v>
      </c>
    </row>
    <row r="39" spans="1:8" ht="12.75" customHeight="1">
      <c r="A39" s="101" t="s">
        <v>222</v>
      </c>
      <c r="B39" s="83" t="s">
        <v>112</v>
      </c>
      <c r="C39" s="23">
        <f t="shared" si="3"/>
        <v>0</v>
      </c>
      <c r="D39" s="21"/>
      <c r="E39" s="12"/>
      <c r="F39" s="17"/>
      <c r="H39" s="4">
        <f t="shared" si="0"/>
        <v>0</v>
      </c>
    </row>
    <row r="40" spans="1:8" ht="12.75" customHeight="1">
      <c r="A40" s="101" t="s">
        <v>223</v>
      </c>
      <c r="B40" s="83" t="s">
        <v>978</v>
      </c>
      <c r="C40" s="23">
        <f t="shared" si="3"/>
        <v>0</v>
      </c>
      <c r="D40" s="21"/>
      <c r="E40" s="12"/>
      <c r="F40" s="17"/>
      <c r="H40" s="4">
        <f t="shared" si="0"/>
        <v>0</v>
      </c>
    </row>
    <row r="41" spans="1:8" ht="12.75" customHeight="1">
      <c r="A41" s="101" t="s">
        <v>224</v>
      </c>
      <c r="B41" s="83" t="s">
        <v>113</v>
      </c>
      <c r="C41" s="23">
        <f t="shared" si="3"/>
        <v>0</v>
      </c>
      <c r="D41" s="21"/>
      <c r="E41" s="12"/>
      <c r="F41" s="17"/>
      <c r="H41" s="4">
        <f t="shared" si="0"/>
        <v>0</v>
      </c>
    </row>
    <row r="42" spans="1:8" ht="12.75" customHeight="1">
      <c r="A42" s="94" t="s">
        <v>225</v>
      </c>
      <c r="B42" s="84" t="s">
        <v>898</v>
      </c>
      <c r="C42" s="23">
        <f>+D42+E42+F42</f>
        <v>0</v>
      </c>
      <c r="D42" s="21"/>
      <c r="E42" s="12"/>
      <c r="F42" s="17"/>
      <c r="H42" s="4">
        <f t="shared" si="0"/>
        <v>0</v>
      </c>
    </row>
    <row r="43" spans="1:8" ht="12.75" customHeight="1" thickBot="1">
      <c r="A43" s="94" t="s">
        <v>897</v>
      </c>
      <c r="B43" s="84" t="s">
        <v>899</v>
      </c>
      <c r="C43" s="26">
        <f t="shared" si="3"/>
        <v>0</v>
      </c>
      <c r="D43" s="27"/>
      <c r="E43" s="28"/>
      <c r="F43" s="29"/>
      <c r="H43" s="4">
        <f t="shared" si="0"/>
        <v>0</v>
      </c>
    </row>
    <row r="44" spans="1:8" s="3" customFormat="1" ht="12.75" thickBot="1">
      <c r="A44" s="99" t="s">
        <v>16</v>
      </c>
      <c r="B44" s="80" t="s">
        <v>969</v>
      </c>
      <c r="C44" s="44">
        <f>+C45+C46+C47+C48+C49</f>
        <v>0</v>
      </c>
      <c r="D44" s="33">
        <f>+D45+D46+D47+D48+D49</f>
        <v>0</v>
      </c>
      <c r="E44" s="34">
        <f>+E45+E46+E47+E48+E49</f>
        <v>0</v>
      </c>
      <c r="F44" s="35">
        <f>+F45+F46+F47+F48+F49</f>
        <v>0</v>
      </c>
      <c r="H44" s="3">
        <f t="shared" si="0"/>
        <v>0</v>
      </c>
    </row>
    <row r="45" spans="1:8" ht="12.75" customHeight="1">
      <c r="A45" s="100" t="s">
        <v>226</v>
      </c>
      <c r="B45" s="81" t="s">
        <v>114</v>
      </c>
      <c r="C45" s="36">
        <f>+D45+E45+F45</f>
        <v>0</v>
      </c>
      <c r="D45" s="41"/>
      <c r="E45" s="11"/>
      <c r="F45" s="42"/>
      <c r="H45" s="4">
        <f t="shared" si="0"/>
        <v>0</v>
      </c>
    </row>
    <row r="46" spans="1:8" ht="12.75" customHeight="1">
      <c r="A46" s="100" t="s">
        <v>227</v>
      </c>
      <c r="B46" s="81" t="s">
        <v>900</v>
      </c>
      <c r="C46" s="36">
        <f>+D46+E46+F46</f>
        <v>0</v>
      </c>
      <c r="D46" s="41"/>
      <c r="E46" s="11"/>
      <c r="F46" s="42"/>
      <c r="H46" s="4">
        <f t="shared" si="0"/>
        <v>0</v>
      </c>
    </row>
    <row r="47" spans="1:8" ht="12.75" customHeight="1">
      <c r="A47" s="100" t="s">
        <v>228</v>
      </c>
      <c r="B47" s="81" t="s">
        <v>901</v>
      </c>
      <c r="C47" s="36">
        <f>+D47+E47+F47</f>
        <v>0</v>
      </c>
      <c r="D47" s="41"/>
      <c r="E47" s="11"/>
      <c r="F47" s="42"/>
      <c r="H47" s="4">
        <f t="shared" si="0"/>
        <v>0</v>
      </c>
    </row>
    <row r="48" spans="1:8" ht="12.75" customHeight="1">
      <c r="A48" s="101" t="s">
        <v>256</v>
      </c>
      <c r="B48" s="83" t="s">
        <v>902</v>
      </c>
      <c r="C48" s="23">
        <f>+D48+E48+F48</f>
        <v>0</v>
      </c>
      <c r="D48" s="21"/>
      <c r="E48" s="12"/>
      <c r="F48" s="17"/>
      <c r="H48" s="4">
        <f t="shared" si="0"/>
        <v>0</v>
      </c>
    </row>
    <row r="49" spans="1:8" ht="12.75" customHeight="1" thickBot="1">
      <c r="A49" s="94" t="s">
        <v>257</v>
      </c>
      <c r="B49" s="84" t="s">
        <v>903</v>
      </c>
      <c r="C49" s="26">
        <f>+D49+E49+F49</f>
        <v>0</v>
      </c>
      <c r="D49" s="27"/>
      <c r="E49" s="28"/>
      <c r="F49" s="29"/>
      <c r="H49" s="4">
        <f t="shared" si="0"/>
        <v>0</v>
      </c>
    </row>
    <row r="50" spans="1:8" s="3" customFormat="1" ht="12.75" thickBot="1">
      <c r="A50" s="99" t="s">
        <v>15</v>
      </c>
      <c r="B50" s="85" t="s">
        <v>299</v>
      </c>
      <c r="C50" s="44">
        <f>+C51+C58+C64</f>
        <v>0</v>
      </c>
      <c r="D50" s="33">
        <f>+D51+D58+D64</f>
        <v>0</v>
      </c>
      <c r="E50" s="34">
        <f>+E51+E58+E64</f>
        <v>0</v>
      </c>
      <c r="F50" s="35">
        <f>+F51+F58+F64</f>
        <v>0</v>
      </c>
      <c r="H50" s="3">
        <f t="shared" si="0"/>
        <v>0</v>
      </c>
    </row>
    <row r="51" spans="1:8" s="3" customFormat="1" ht="12.75" customHeight="1" thickBot="1">
      <c r="A51" s="99" t="s">
        <v>14</v>
      </c>
      <c r="B51" s="80" t="s">
        <v>300</v>
      </c>
      <c r="C51" s="44">
        <f>+C52+C53+C54+C55+C56</f>
        <v>0</v>
      </c>
      <c r="D51" s="33">
        <f>+D52+D53+D54+D55+D56</f>
        <v>0</v>
      </c>
      <c r="E51" s="34">
        <f>+E52+E53+E54+E55+E56</f>
        <v>0</v>
      </c>
      <c r="F51" s="35">
        <f>+F52+F53+F54+F55+F56</f>
        <v>0</v>
      </c>
      <c r="H51" s="3">
        <f t="shared" si="0"/>
        <v>0</v>
      </c>
    </row>
    <row r="52" spans="1:8">
      <c r="A52" s="100" t="s">
        <v>184</v>
      </c>
      <c r="B52" s="135" t="s">
        <v>115</v>
      </c>
      <c r="C52" s="36">
        <f t="shared" ref="C52:C57" si="4">+D52+E52+F52</f>
        <v>0</v>
      </c>
      <c r="D52" s="41"/>
      <c r="E52" s="11"/>
      <c r="F52" s="42"/>
      <c r="H52" s="4">
        <f t="shared" si="0"/>
        <v>0</v>
      </c>
    </row>
    <row r="53" spans="1:8">
      <c r="A53" s="101" t="s">
        <v>185</v>
      </c>
      <c r="B53" s="83" t="s">
        <v>116</v>
      </c>
      <c r="C53" s="23">
        <f t="shared" si="4"/>
        <v>0</v>
      </c>
      <c r="D53" s="21"/>
      <c r="E53" s="12"/>
      <c r="F53" s="17"/>
      <c r="H53" s="4">
        <f t="shared" si="0"/>
        <v>0</v>
      </c>
    </row>
    <row r="54" spans="1:8">
      <c r="A54" s="101" t="s">
        <v>186</v>
      </c>
      <c r="B54" s="83" t="s">
        <v>117</v>
      </c>
      <c r="C54" s="23">
        <f t="shared" si="4"/>
        <v>0</v>
      </c>
      <c r="D54" s="21"/>
      <c r="E54" s="12"/>
      <c r="F54" s="17"/>
      <c r="H54" s="4">
        <f t="shared" si="0"/>
        <v>0</v>
      </c>
    </row>
    <row r="55" spans="1:8">
      <c r="A55" s="101" t="s">
        <v>187</v>
      </c>
      <c r="B55" s="83" t="s">
        <v>118</v>
      </c>
      <c r="C55" s="23">
        <f t="shared" si="4"/>
        <v>0</v>
      </c>
      <c r="D55" s="21"/>
      <c r="E55" s="12"/>
      <c r="F55" s="17"/>
      <c r="H55" s="4">
        <f t="shared" si="0"/>
        <v>0</v>
      </c>
    </row>
    <row r="56" spans="1:8">
      <c r="A56" s="94" t="s">
        <v>188</v>
      </c>
      <c r="B56" s="84" t="s">
        <v>119</v>
      </c>
      <c r="C56" s="26">
        <f t="shared" si="4"/>
        <v>0</v>
      </c>
      <c r="D56" s="27"/>
      <c r="E56" s="28"/>
      <c r="F56" s="29"/>
      <c r="H56" s="4">
        <f t="shared" si="0"/>
        <v>0</v>
      </c>
    </row>
    <row r="57" spans="1:8" s="14" customFormat="1" ht="12.75" thickBot="1">
      <c r="A57" s="105" t="s">
        <v>333</v>
      </c>
      <c r="B57" s="894" t="s">
        <v>337</v>
      </c>
      <c r="C57" s="58">
        <f t="shared" si="4"/>
        <v>0</v>
      </c>
      <c r="D57" s="56"/>
      <c r="E57" s="54"/>
      <c r="F57" s="55"/>
      <c r="H57" s="14">
        <f t="shared" si="0"/>
        <v>0</v>
      </c>
    </row>
    <row r="58" spans="1:8" s="3" customFormat="1" ht="12.75" customHeight="1" thickBot="1">
      <c r="A58" s="99" t="s">
        <v>13</v>
      </c>
      <c r="B58" s="80" t="s">
        <v>301</v>
      </c>
      <c r="C58" s="44">
        <f>+C59+C60+C61+C62+C63</f>
        <v>0</v>
      </c>
      <c r="D58" s="33">
        <f>+D59+D60+D61+D62+D63</f>
        <v>0</v>
      </c>
      <c r="E58" s="34">
        <f>+E59+E60+E61+E62+E63</f>
        <v>0</v>
      </c>
      <c r="F58" s="35">
        <f>+F59+F60+F61+F62+F63</f>
        <v>0</v>
      </c>
      <c r="H58" s="3">
        <f t="shared" si="0"/>
        <v>0</v>
      </c>
    </row>
    <row r="59" spans="1:8" ht="12.75" customHeight="1">
      <c r="A59" s="100" t="s">
        <v>66</v>
      </c>
      <c r="B59" s="81" t="s">
        <v>120</v>
      </c>
      <c r="C59" s="36">
        <f>+D59+E59+F59</f>
        <v>0</v>
      </c>
      <c r="D59" s="41"/>
      <c r="E59" s="11"/>
      <c r="F59" s="42"/>
      <c r="H59" s="4">
        <f t="shared" si="0"/>
        <v>0</v>
      </c>
    </row>
    <row r="60" spans="1:8" ht="12.75" customHeight="1">
      <c r="A60" s="101" t="s">
        <v>67</v>
      </c>
      <c r="B60" s="83" t="s">
        <v>121</v>
      </c>
      <c r="C60" s="23">
        <f>+D60+E60+F60</f>
        <v>0</v>
      </c>
      <c r="D60" s="21"/>
      <c r="E60" s="12"/>
      <c r="F60" s="17"/>
      <c r="H60" s="4">
        <f t="shared" si="0"/>
        <v>0</v>
      </c>
    </row>
    <row r="61" spans="1:8" ht="12.75" customHeight="1">
      <c r="A61" s="101" t="s">
        <v>68</v>
      </c>
      <c r="B61" s="83" t="s">
        <v>122</v>
      </c>
      <c r="C61" s="23">
        <f>+D61+E61+F61</f>
        <v>0</v>
      </c>
      <c r="D61" s="21"/>
      <c r="E61" s="12"/>
      <c r="F61" s="17"/>
      <c r="H61" s="4">
        <f t="shared" si="0"/>
        <v>0</v>
      </c>
    </row>
    <row r="62" spans="1:8" ht="12.75" customHeight="1">
      <c r="A62" s="101" t="s">
        <v>229</v>
      </c>
      <c r="B62" s="83" t="s">
        <v>123</v>
      </c>
      <c r="C62" s="23">
        <f>+D62+E62+F62</f>
        <v>0</v>
      </c>
      <c r="D62" s="21"/>
      <c r="E62" s="12"/>
      <c r="F62" s="17"/>
      <c r="H62" s="4">
        <f t="shared" si="0"/>
        <v>0</v>
      </c>
    </row>
    <row r="63" spans="1:8" ht="12.75" customHeight="1" thickBot="1">
      <c r="A63" s="94" t="s">
        <v>230</v>
      </c>
      <c r="B63" s="84" t="s">
        <v>124</v>
      </c>
      <c r="C63" s="26">
        <f>+D63+E63+F63</f>
        <v>0</v>
      </c>
      <c r="D63" s="27"/>
      <c r="E63" s="28"/>
      <c r="F63" s="29"/>
      <c r="H63" s="4">
        <f t="shared" si="0"/>
        <v>0</v>
      </c>
    </row>
    <row r="64" spans="1:8" s="3" customFormat="1" ht="12.75" thickBot="1">
      <c r="A64" s="99" t="s">
        <v>12</v>
      </c>
      <c r="B64" s="80" t="s">
        <v>907</v>
      </c>
      <c r="C64" s="44">
        <f>+C65+C66+C67+C68+C69</f>
        <v>0</v>
      </c>
      <c r="D64" s="33">
        <f>+D65+D66+D67+D68+D69</f>
        <v>0</v>
      </c>
      <c r="E64" s="34">
        <f>+E65+E66+E67+E68+E69</f>
        <v>0</v>
      </c>
      <c r="F64" s="35">
        <f>+F65+F66+F67+F68+F69</f>
        <v>0</v>
      </c>
      <c r="H64" s="3">
        <f t="shared" si="0"/>
        <v>0</v>
      </c>
    </row>
    <row r="65" spans="1:8">
      <c r="A65" s="100" t="s">
        <v>69</v>
      </c>
      <c r="B65" s="81" t="s">
        <v>125</v>
      </c>
      <c r="C65" s="36">
        <f>+D65+E65+F65</f>
        <v>0</v>
      </c>
      <c r="D65" s="41"/>
      <c r="E65" s="11"/>
      <c r="F65" s="42"/>
      <c r="H65" s="4">
        <f t="shared" si="0"/>
        <v>0</v>
      </c>
    </row>
    <row r="66" spans="1:8">
      <c r="A66" s="100" t="s">
        <v>70</v>
      </c>
      <c r="B66" s="81" t="s">
        <v>908</v>
      </c>
      <c r="C66" s="36">
        <f>+D66+E66+F66</f>
        <v>0</v>
      </c>
      <c r="D66" s="41"/>
      <c r="E66" s="11"/>
      <c r="F66" s="42"/>
      <c r="H66" s="4">
        <f t="shared" si="0"/>
        <v>0</v>
      </c>
    </row>
    <row r="67" spans="1:8">
      <c r="A67" s="100" t="s">
        <v>71</v>
      </c>
      <c r="B67" s="81" t="s">
        <v>909</v>
      </c>
      <c r="C67" s="36">
        <f>+D67+E67+F67</f>
        <v>0</v>
      </c>
      <c r="D67" s="41"/>
      <c r="E67" s="11"/>
      <c r="F67" s="42"/>
      <c r="H67" s="4">
        <f t="shared" si="0"/>
        <v>0</v>
      </c>
    </row>
    <row r="68" spans="1:8">
      <c r="A68" s="101" t="s">
        <v>72</v>
      </c>
      <c r="B68" s="83" t="s">
        <v>905</v>
      </c>
      <c r="C68" s="23">
        <f>+D68+E68+F68</f>
        <v>0</v>
      </c>
      <c r="D68" s="21"/>
      <c r="E68" s="12"/>
      <c r="F68" s="17"/>
      <c r="H68" s="4">
        <f t="shared" si="0"/>
        <v>0</v>
      </c>
    </row>
    <row r="69" spans="1:8" ht="12.75" thickBot="1">
      <c r="A69" s="94" t="s">
        <v>904</v>
      </c>
      <c r="B69" s="84" t="s">
        <v>906</v>
      </c>
      <c r="C69" s="26">
        <f>+D69+E69+F69</f>
        <v>0</v>
      </c>
      <c r="D69" s="27"/>
      <c r="E69" s="28"/>
      <c r="F69" s="29"/>
      <c r="H69" s="4">
        <f t="shared" si="0"/>
        <v>0</v>
      </c>
    </row>
    <row r="70" spans="1:8" s="3" customFormat="1" ht="12.75" thickBot="1">
      <c r="A70" s="99" t="s">
        <v>11</v>
      </c>
      <c r="B70" s="85" t="s">
        <v>302</v>
      </c>
      <c r="C70" s="44">
        <f>+C10+C50</f>
        <v>600</v>
      </c>
      <c r="D70" s="33">
        <f>+D10+D50</f>
        <v>600</v>
      </c>
      <c r="E70" s="34">
        <f>+E10+E50</f>
        <v>0</v>
      </c>
      <c r="F70" s="35">
        <f>+F10+F50</f>
        <v>0</v>
      </c>
      <c r="H70" s="3">
        <f t="shared" si="0"/>
        <v>0</v>
      </c>
    </row>
    <row r="71" spans="1:8" s="3" customFormat="1" ht="12.75" thickBot="1">
      <c r="A71" s="99" t="s">
        <v>10</v>
      </c>
      <c r="B71" s="86" t="s">
        <v>303</v>
      </c>
      <c r="C71" s="44">
        <f>+C72</f>
        <v>49158</v>
      </c>
      <c r="D71" s="33">
        <f>+D72</f>
        <v>49158</v>
      </c>
      <c r="E71" s="34">
        <f>+E72</f>
        <v>0</v>
      </c>
      <c r="F71" s="35">
        <f>+F72</f>
        <v>0</v>
      </c>
      <c r="H71" s="3">
        <f t="shared" si="0"/>
        <v>0</v>
      </c>
    </row>
    <row r="72" spans="1:8" s="3" customFormat="1" ht="12.75" thickBot="1">
      <c r="A72" s="99" t="s">
        <v>9</v>
      </c>
      <c r="B72" s="80" t="s">
        <v>916</v>
      </c>
      <c r="C72" s="44">
        <f>+C73+C83+C84+C85</f>
        <v>49158</v>
      </c>
      <c r="D72" s="33">
        <f>+D73+D83+D84+D85</f>
        <v>49158</v>
      </c>
      <c r="E72" s="34">
        <f>+E73+E83+E84+E85</f>
        <v>0</v>
      </c>
      <c r="F72" s="35">
        <f>+F73+F83+F84+F85</f>
        <v>0</v>
      </c>
      <c r="H72" s="3">
        <f t="shared" si="0"/>
        <v>0</v>
      </c>
    </row>
    <row r="73" spans="1:8">
      <c r="A73" s="100" t="s">
        <v>73</v>
      </c>
      <c r="B73" s="81" t="s">
        <v>911</v>
      </c>
      <c r="C73" s="36">
        <f>+C74+C75+C76+C77+C78+C79+C80+C81+C82</f>
        <v>49158</v>
      </c>
      <c r="D73" s="41">
        <f>+D74+D75+D76+D77+D78+D79+D80+D81+D82</f>
        <v>49158</v>
      </c>
      <c r="E73" s="11">
        <f>+E74+E75+E76+E77+E78+E79+E80+E81+E82</f>
        <v>0</v>
      </c>
      <c r="F73" s="42">
        <f>+F74+F75+F76+F77+F78+F79+F80+F81+F82</f>
        <v>0</v>
      </c>
      <c r="H73" s="4">
        <f t="shared" si="0"/>
        <v>0</v>
      </c>
    </row>
    <row r="74" spans="1:8" s="14" customFormat="1">
      <c r="A74" s="102" t="s">
        <v>195</v>
      </c>
      <c r="B74" s="82" t="s">
        <v>910</v>
      </c>
      <c r="C74" s="24">
        <f t="shared" ref="C74:C84" si="5">+D74+E74+F74</f>
        <v>0</v>
      </c>
      <c r="D74" s="20"/>
      <c r="E74" s="13"/>
      <c r="F74" s="16"/>
      <c r="H74" s="14">
        <f t="shared" si="0"/>
        <v>0</v>
      </c>
    </row>
    <row r="75" spans="1:8" s="14" customFormat="1">
      <c r="A75" s="102" t="s">
        <v>196</v>
      </c>
      <c r="B75" s="82" t="s">
        <v>246</v>
      </c>
      <c r="C75" s="24">
        <f t="shared" si="5"/>
        <v>0</v>
      </c>
      <c r="D75" s="20"/>
      <c r="E75" s="13"/>
      <c r="F75" s="16"/>
      <c r="H75" s="14">
        <f t="shared" ref="H75:H138" si="6">+C75-D75-E75-F75</f>
        <v>0</v>
      </c>
    </row>
    <row r="76" spans="1:8" s="14" customFormat="1">
      <c r="A76" s="102" t="s">
        <v>197</v>
      </c>
      <c r="B76" s="82" t="s">
        <v>247</v>
      </c>
      <c r="C76" s="24">
        <f t="shared" si="5"/>
        <v>0</v>
      </c>
      <c r="D76" s="20"/>
      <c r="E76" s="13"/>
      <c r="F76" s="16"/>
      <c r="H76" s="14">
        <f t="shared" si="6"/>
        <v>0</v>
      </c>
    </row>
    <row r="77" spans="1:8" s="14" customFormat="1">
      <c r="A77" s="102" t="s">
        <v>198</v>
      </c>
      <c r="B77" s="82" t="s">
        <v>248</v>
      </c>
      <c r="C77" s="24">
        <f t="shared" si="5"/>
        <v>0</v>
      </c>
      <c r="D77" s="20"/>
      <c r="E77" s="13"/>
      <c r="F77" s="16"/>
      <c r="H77" s="14">
        <f t="shared" si="6"/>
        <v>0</v>
      </c>
    </row>
    <row r="78" spans="1:8" s="14" customFormat="1">
      <c r="A78" s="102" t="s">
        <v>199</v>
      </c>
      <c r="B78" s="82" t="s">
        <v>249</v>
      </c>
      <c r="C78" s="24">
        <f t="shared" si="5"/>
        <v>0</v>
      </c>
      <c r="D78" s="20"/>
      <c r="E78" s="13"/>
      <c r="F78" s="16"/>
      <c r="H78" s="14">
        <f t="shared" si="6"/>
        <v>0</v>
      </c>
    </row>
    <row r="79" spans="1:8" s="14" customFormat="1">
      <c r="A79" s="127" t="s">
        <v>200</v>
      </c>
      <c r="B79" s="128" t="s">
        <v>250</v>
      </c>
      <c r="C79" s="24">
        <f t="shared" si="5"/>
        <v>49158</v>
      </c>
      <c r="D79" s="20">
        <f>+D109-D10+D178-D74-D75-D76-D77-D78-D80-D81-D83-D84-D85</f>
        <v>49158</v>
      </c>
      <c r="E79" s="13">
        <f>+E109-E10+E178-E74-E75-E76-E77-E78-E80-E81-E83-E84-E85</f>
        <v>0</v>
      </c>
      <c r="F79" s="16">
        <f>+F109-F10+F178-F74-F75-F76-F77-F78-F80-F81-F83-F84-F85</f>
        <v>0</v>
      </c>
      <c r="H79" s="140">
        <f t="shared" si="6"/>
        <v>0</v>
      </c>
    </row>
    <row r="80" spans="1:8" s="14" customFormat="1">
      <c r="A80" s="102" t="s">
        <v>203</v>
      </c>
      <c r="B80" s="82" t="s">
        <v>251</v>
      </c>
      <c r="C80" s="24">
        <f t="shared" si="5"/>
        <v>0</v>
      </c>
      <c r="D80" s="20"/>
      <c r="E80" s="13"/>
      <c r="F80" s="16"/>
      <c r="H80" s="140">
        <f t="shared" si="6"/>
        <v>0</v>
      </c>
    </row>
    <row r="81" spans="1:8" s="14" customFormat="1">
      <c r="A81" s="102" t="s">
        <v>201</v>
      </c>
      <c r="B81" s="82" t="s">
        <v>244</v>
      </c>
      <c r="C81" s="24">
        <f t="shared" si="5"/>
        <v>0</v>
      </c>
      <c r="D81" s="20"/>
      <c r="E81" s="13"/>
      <c r="F81" s="16"/>
      <c r="H81" s="140">
        <f t="shared" si="6"/>
        <v>0</v>
      </c>
    </row>
    <row r="82" spans="1:8" s="14" customFormat="1">
      <c r="A82" s="102" t="s">
        <v>912</v>
      </c>
      <c r="B82" s="82" t="s">
        <v>913</v>
      </c>
      <c r="C82" s="24">
        <f>+D82+E82+F82</f>
        <v>0</v>
      </c>
      <c r="D82" s="20"/>
      <c r="E82" s="13"/>
      <c r="F82" s="16"/>
      <c r="H82" s="140">
        <f t="shared" si="6"/>
        <v>0</v>
      </c>
    </row>
    <row r="83" spans="1:8">
      <c r="A83" s="101" t="s">
        <v>74</v>
      </c>
      <c r="B83" s="83" t="s">
        <v>242</v>
      </c>
      <c r="C83" s="23">
        <f t="shared" si="5"/>
        <v>0</v>
      </c>
      <c r="D83" s="21"/>
      <c r="E83" s="12"/>
      <c r="F83" s="17"/>
      <c r="H83" s="141">
        <f t="shared" si="6"/>
        <v>0</v>
      </c>
    </row>
    <row r="84" spans="1:8">
      <c r="A84" s="94" t="s">
        <v>202</v>
      </c>
      <c r="B84" s="84" t="s">
        <v>243</v>
      </c>
      <c r="C84" s="26">
        <f t="shared" si="5"/>
        <v>0</v>
      </c>
      <c r="D84" s="27"/>
      <c r="E84" s="28"/>
      <c r="F84" s="29"/>
      <c r="H84" s="141">
        <f t="shared" si="6"/>
        <v>0</v>
      </c>
    </row>
    <row r="85" spans="1:8" ht="12.75" thickBot="1">
      <c r="A85" s="94" t="s">
        <v>914</v>
      </c>
      <c r="B85" s="84" t="s">
        <v>915</v>
      </c>
      <c r="C85" s="26">
        <f>+D85+E85+F85</f>
        <v>0</v>
      </c>
      <c r="D85" s="27"/>
      <c r="E85" s="28"/>
      <c r="F85" s="29"/>
      <c r="H85" s="141">
        <f t="shared" si="6"/>
        <v>0</v>
      </c>
    </row>
    <row r="86" spans="1:8" s="3" customFormat="1" ht="12.75" thickBot="1">
      <c r="A86" s="99" t="s">
        <v>45</v>
      </c>
      <c r="B86" s="86" t="s">
        <v>304</v>
      </c>
      <c r="C86" s="44">
        <f>+C87</f>
        <v>10372</v>
      </c>
      <c r="D86" s="33">
        <f>+D87</f>
        <v>10372</v>
      </c>
      <c r="E86" s="34">
        <f>+E87</f>
        <v>0</v>
      </c>
      <c r="F86" s="35">
        <f>+F87</f>
        <v>0</v>
      </c>
      <c r="H86" s="143">
        <f t="shared" si="6"/>
        <v>0</v>
      </c>
    </row>
    <row r="87" spans="1:8" s="3" customFormat="1" ht="12.75" thickBot="1">
      <c r="A87" s="99" t="s">
        <v>44</v>
      </c>
      <c r="B87" s="80" t="s">
        <v>918</v>
      </c>
      <c r="C87" s="44">
        <f>+C88+C98+C99+C100</f>
        <v>10372</v>
      </c>
      <c r="D87" s="33">
        <f>+D88+D98+D99+D100</f>
        <v>10372</v>
      </c>
      <c r="E87" s="34">
        <f>+E88+E98+E99+E100</f>
        <v>0</v>
      </c>
      <c r="F87" s="35">
        <f>+F88+F98+F99+F100</f>
        <v>0</v>
      </c>
      <c r="H87" s="143">
        <f t="shared" si="6"/>
        <v>0</v>
      </c>
    </row>
    <row r="88" spans="1:8">
      <c r="A88" s="100" t="s">
        <v>231</v>
      </c>
      <c r="B88" s="81" t="s">
        <v>970</v>
      </c>
      <c r="C88" s="36">
        <f>+C89+C90+C91+C92+C93+C94+C95+C96+C97</f>
        <v>10372</v>
      </c>
      <c r="D88" s="41">
        <f>+D89+D90+D91+D92+D93+D94+D95+D96+D97</f>
        <v>10372</v>
      </c>
      <c r="E88" s="11">
        <f>+E89+E90+E91+E92+E93+E94+E95+E96+E97</f>
        <v>0</v>
      </c>
      <c r="F88" s="42">
        <f>+F89+F90+F91+F92+F93+F94+F95+F96+F97</f>
        <v>0</v>
      </c>
      <c r="H88" s="141">
        <f t="shared" si="6"/>
        <v>0</v>
      </c>
    </row>
    <row r="89" spans="1:8" s="14" customFormat="1">
      <c r="A89" s="102" t="s">
        <v>232</v>
      </c>
      <c r="B89" s="82" t="s">
        <v>910</v>
      </c>
      <c r="C89" s="24">
        <f t="shared" ref="C89:C99" si="7">+D89+E89+F89</f>
        <v>0</v>
      </c>
      <c r="D89" s="20"/>
      <c r="E89" s="13"/>
      <c r="F89" s="16"/>
      <c r="H89" s="140">
        <f t="shared" si="6"/>
        <v>0</v>
      </c>
    </row>
    <row r="90" spans="1:8" s="14" customFormat="1">
      <c r="A90" s="102" t="s">
        <v>233</v>
      </c>
      <c r="B90" s="82" t="s">
        <v>246</v>
      </c>
      <c r="C90" s="24">
        <f t="shared" si="7"/>
        <v>0</v>
      </c>
      <c r="D90" s="20"/>
      <c r="E90" s="13"/>
      <c r="F90" s="16"/>
      <c r="H90" s="140">
        <f t="shared" si="6"/>
        <v>0</v>
      </c>
    </row>
    <row r="91" spans="1:8" s="14" customFormat="1">
      <c r="A91" s="102" t="s">
        <v>234</v>
      </c>
      <c r="B91" s="82" t="s">
        <v>247</v>
      </c>
      <c r="C91" s="24">
        <f t="shared" si="7"/>
        <v>0</v>
      </c>
      <c r="D91" s="20"/>
      <c r="E91" s="13"/>
      <c r="F91" s="16"/>
      <c r="H91" s="140">
        <f t="shared" si="6"/>
        <v>0</v>
      </c>
    </row>
    <row r="92" spans="1:8" s="14" customFormat="1">
      <c r="A92" s="102" t="s">
        <v>235</v>
      </c>
      <c r="B92" s="82" t="s">
        <v>248</v>
      </c>
      <c r="C92" s="24">
        <f t="shared" si="7"/>
        <v>0</v>
      </c>
      <c r="D92" s="20"/>
      <c r="E92" s="13"/>
      <c r="F92" s="16"/>
      <c r="H92" s="140">
        <f t="shared" si="6"/>
        <v>0</v>
      </c>
    </row>
    <row r="93" spans="1:8" s="14" customFormat="1">
      <c r="A93" s="102" t="s">
        <v>236</v>
      </c>
      <c r="B93" s="82" t="s">
        <v>249</v>
      </c>
      <c r="C93" s="24">
        <f t="shared" si="7"/>
        <v>0</v>
      </c>
      <c r="D93" s="20"/>
      <c r="E93" s="13"/>
      <c r="F93" s="16"/>
      <c r="H93" s="140">
        <f t="shared" si="6"/>
        <v>0</v>
      </c>
    </row>
    <row r="94" spans="1:8" s="14" customFormat="1">
      <c r="A94" s="127" t="s">
        <v>237</v>
      </c>
      <c r="B94" s="128" t="s">
        <v>250</v>
      </c>
      <c r="C94" s="24">
        <f t="shared" si="7"/>
        <v>10372</v>
      </c>
      <c r="D94" s="20">
        <f>+D149-D50+D192-D89-D90-D91-D92-D93-D95-D96-D98-D99-D100</f>
        <v>10372</v>
      </c>
      <c r="E94" s="13">
        <f>+E149-E50+E192-E89-E90-E91-E92-E93-E95-E96-E98-E99-E100</f>
        <v>0</v>
      </c>
      <c r="F94" s="16">
        <f>+F149-F50+F192-F89-F90-F91-F92-F93-F95-F96-F98-F99-F100</f>
        <v>0</v>
      </c>
      <c r="H94" s="140">
        <f t="shared" si="6"/>
        <v>0</v>
      </c>
    </row>
    <row r="95" spans="1:8" s="14" customFormat="1">
      <c r="A95" s="102" t="s">
        <v>238</v>
      </c>
      <c r="B95" s="82" t="s">
        <v>251</v>
      </c>
      <c r="C95" s="24">
        <f t="shared" si="7"/>
        <v>0</v>
      </c>
      <c r="D95" s="20"/>
      <c r="E95" s="13"/>
      <c r="F95" s="16"/>
      <c r="H95" s="14">
        <f t="shared" si="6"/>
        <v>0</v>
      </c>
    </row>
    <row r="96" spans="1:8" s="14" customFormat="1">
      <c r="A96" s="102" t="s">
        <v>239</v>
      </c>
      <c r="B96" s="82" t="s">
        <v>244</v>
      </c>
      <c r="C96" s="24">
        <f t="shared" si="7"/>
        <v>0</v>
      </c>
      <c r="D96" s="20"/>
      <c r="E96" s="13"/>
      <c r="F96" s="16"/>
      <c r="H96" s="14">
        <f t="shared" si="6"/>
        <v>0</v>
      </c>
    </row>
    <row r="97" spans="1:8" s="14" customFormat="1">
      <c r="A97" s="102" t="s">
        <v>917</v>
      </c>
      <c r="B97" s="82" t="s">
        <v>913</v>
      </c>
      <c r="C97" s="24">
        <f>+D97+E97+F97</f>
        <v>0</v>
      </c>
      <c r="D97" s="20"/>
      <c r="E97" s="13"/>
      <c r="F97" s="16"/>
      <c r="H97" s="14">
        <f t="shared" si="6"/>
        <v>0</v>
      </c>
    </row>
    <row r="98" spans="1:8">
      <c r="A98" s="101" t="s">
        <v>240</v>
      </c>
      <c r="B98" s="83" t="s">
        <v>242</v>
      </c>
      <c r="C98" s="23">
        <f t="shared" si="7"/>
        <v>0</v>
      </c>
      <c r="D98" s="21"/>
      <c r="E98" s="12"/>
      <c r="F98" s="17"/>
      <c r="H98" s="4">
        <f t="shared" si="6"/>
        <v>0</v>
      </c>
    </row>
    <row r="99" spans="1:8">
      <c r="A99" s="94" t="s">
        <v>241</v>
      </c>
      <c r="B99" s="84" t="s">
        <v>243</v>
      </c>
      <c r="C99" s="26">
        <f t="shared" si="7"/>
        <v>0</v>
      </c>
      <c r="D99" s="27"/>
      <c r="E99" s="28"/>
      <c r="F99" s="29"/>
      <c r="H99" s="4">
        <f t="shared" si="6"/>
        <v>0</v>
      </c>
    </row>
    <row r="100" spans="1:8" ht="12.75" thickBot="1">
      <c r="A100" s="94" t="s">
        <v>919</v>
      </c>
      <c r="B100" s="84" t="s">
        <v>915</v>
      </c>
      <c r="C100" s="26">
        <f>+D100+E100+F100</f>
        <v>0</v>
      </c>
      <c r="D100" s="27"/>
      <c r="E100" s="28"/>
      <c r="F100" s="29"/>
      <c r="H100" s="4">
        <f t="shared" si="6"/>
        <v>0</v>
      </c>
    </row>
    <row r="101" spans="1:8" s="3" customFormat="1" ht="12.75" thickBot="1">
      <c r="A101" s="99" t="s">
        <v>43</v>
      </c>
      <c r="B101" s="85" t="s">
        <v>305</v>
      </c>
      <c r="C101" s="44">
        <f>+C71+C86</f>
        <v>59530</v>
      </c>
      <c r="D101" s="33">
        <f>+D71+D86</f>
        <v>59530</v>
      </c>
      <c r="E101" s="34">
        <f>+E71+E86</f>
        <v>0</v>
      </c>
      <c r="F101" s="35">
        <f>+F71+F86</f>
        <v>0</v>
      </c>
      <c r="H101" s="3">
        <f t="shared" si="6"/>
        <v>0</v>
      </c>
    </row>
    <row r="102" spans="1:8" s="3" customFormat="1" ht="12.75" thickBot="1">
      <c r="A102" s="103" t="s">
        <v>40</v>
      </c>
      <c r="B102" s="87" t="s">
        <v>306</v>
      </c>
      <c r="C102" s="45">
        <f>+C70+C101</f>
        <v>60130</v>
      </c>
      <c r="D102" s="30">
        <f>+D70+D101</f>
        <v>60130</v>
      </c>
      <c r="E102" s="31">
        <f>+E70+E101</f>
        <v>0</v>
      </c>
      <c r="F102" s="32">
        <f>+F70+F101</f>
        <v>0</v>
      </c>
      <c r="H102" s="3">
        <f t="shared" si="6"/>
        <v>0</v>
      </c>
    </row>
    <row r="103" spans="1:8" s="3" customFormat="1">
      <c r="A103" s="66"/>
      <c r="B103" s="37"/>
      <c r="C103" s="37"/>
      <c r="D103" s="37"/>
      <c r="E103" s="37"/>
      <c r="F103" s="37"/>
    </row>
    <row r="104" spans="1:8" s="3" customFormat="1">
      <c r="A104" s="66"/>
      <c r="B104" s="37"/>
      <c r="C104" s="37"/>
      <c r="D104" s="37"/>
      <c r="E104" s="37"/>
      <c r="F104" s="37"/>
    </row>
    <row r="105" spans="1:8" s="65" customFormat="1" ht="15.75">
      <c r="A105" s="1210" t="s">
        <v>80</v>
      </c>
      <c r="B105" s="1210"/>
      <c r="C105" s="1210"/>
      <c r="D105" s="1210"/>
      <c r="E105" s="1210"/>
      <c r="F105" s="1210"/>
    </row>
    <row r="106" spans="1:8" s="46" customFormat="1" ht="12.75" thickBot="1">
      <c r="A106" s="48" t="s">
        <v>278</v>
      </c>
      <c r="F106" s="47" t="s">
        <v>280</v>
      </c>
    </row>
    <row r="107" spans="1:8" s="3" customFormat="1" ht="48.75" thickBot="1">
      <c r="A107" s="95" t="s">
        <v>17</v>
      </c>
      <c r="B107" s="96" t="s">
        <v>328</v>
      </c>
      <c r="C107" s="49" t="s">
        <v>1442</v>
      </c>
      <c r="D107" s="6" t="s">
        <v>51</v>
      </c>
      <c r="E107" s="7" t="s">
        <v>52</v>
      </c>
      <c r="F107" s="8" t="s">
        <v>53</v>
      </c>
    </row>
    <row r="108" spans="1:8" s="3" customFormat="1" ht="12.75" thickBot="1">
      <c r="A108" s="97" t="s">
        <v>252</v>
      </c>
      <c r="B108" s="98" t="s">
        <v>253</v>
      </c>
      <c r="C108" s="1215" t="s">
        <v>254</v>
      </c>
      <c r="D108" s="1216"/>
      <c r="E108" s="1216"/>
      <c r="F108" s="1217"/>
    </row>
    <row r="109" spans="1:8" s="3" customFormat="1" ht="12.75" thickBot="1">
      <c r="A109" s="99" t="s">
        <v>4</v>
      </c>
      <c r="B109" s="85" t="s">
        <v>307</v>
      </c>
      <c r="C109" s="44">
        <f>+C110+C114+C116+C123+C132</f>
        <v>49758</v>
      </c>
      <c r="D109" s="33">
        <f>+D110+D114+D116+D123+D132</f>
        <v>49758</v>
      </c>
      <c r="E109" s="34">
        <f>+E110+E114+E116+E123+E132</f>
        <v>0</v>
      </c>
      <c r="F109" s="35">
        <f>+F110+F114+F116+F123+F132</f>
        <v>0</v>
      </c>
      <c r="H109" s="3">
        <f t="shared" si="6"/>
        <v>0</v>
      </c>
    </row>
    <row r="110" spans="1:8" s="3" customFormat="1" ht="12.75" thickBot="1">
      <c r="A110" s="99" t="s">
        <v>5</v>
      </c>
      <c r="B110" s="80" t="s">
        <v>308</v>
      </c>
      <c r="C110" s="44">
        <f>+C112+C113</f>
        <v>25821</v>
      </c>
      <c r="D110" s="33">
        <f>+D112+D113</f>
        <v>25821</v>
      </c>
      <c r="E110" s="34">
        <f>+E112+E113</f>
        <v>0</v>
      </c>
      <c r="F110" s="35">
        <f>+F112+F113</f>
        <v>0</v>
      </c>
      <c r="H110" s="3">
        <f t="shared" si="6"/>
        <v>0</v>
      </c>
    </row>
    <row r="111" spans="1:8" s="46" customFormat="1">
      <c r="A111" s="895" t="s">
        <v>348</v>
      </c>
      <c r="B111" s="896" t="s">
        <v>349</v>
      </c>
      <c r="C111" s="112">
        <f>+D111+E111+F111</f>
        <v>0</v>
      </c>
      <c r="D111" s="113"/>
      <c r="E111" s="114"/>
      <c r="F111" s="115"/>
      <c r="H111" s="46">
        <f t="shared" si="6"/>
        <v>0</v>
      </c>
    </row>
    <row r="112" spans="1:8">
      <c r="A112" s="100" t="s">
        <v>54</v>
      </c>
      <c r="B112" s="81" t="s">
        <v>126</v>
      </c>
      <c r="C112" s="36">
        <f>+D112+E112+F112</f>
        <v>25821</v>
      </c>
      <c r="D112" s="41">
        <v>25821</v>
      </c>
      <c r="E112" s="11"/>
      <c r="F112" s="42"/>
      <c r="H112" s="4">
        <f t="shared" si="6"/>
        <v>0</v>
      </c>
    </row>
    <row r="113" spans="1:8" ht="12.75" thickBot="1">
      <c r="A113" s="94" t="s">
        <v>55</v>
      </c>
      <c r="B113" s="84" t="s">
        <v>127</v>
      </c>
      <c r="C113" s="26">
        <f>+D113+E113+F113</f>
        <v>0</v>
      </c>
      <c r="D113" s="27"/>
      <c r="E113" s="28"/>
      <c r="F113" s="29"/>
      <c r="H113" s="4">
        <f t="shared" si="6"/>
        <v>0</v>
      </c>
    </row>
    <row r="114" spans="1:8" s="3" customFormat="1" ht="12.75" thickBot="1">
      <c r="A114" s="99" t="s">
        <v>6</v>
      </c>
      <c r="B114" s="80" t="s">
        <v>255</v>
      </c>
      <c r="C114" s="44">
        <f>+D114+E114+F114</f>
        <v>4534</v>
      </c>
      <c r="D114" s="33">
        <v>4534</v>
      </c>
      <c r="E114" s="34"/>
      <c r="F114" s="35"/>
      <c r="H114" s="3">
        <f t="shared" si="6"/>
        <v>0</v>
      </c>
    </row>
    <row r="115" spans="1:8" s="46" customFormat="1" ht="12.75" thickBot="1">
      <c r="A115" s="895" t="s">
        <v>345</v>
      </c>
      <c r="B115" s="896" t="s">
        <v>346</v>
      </c>
      <c r="C115" s="112">
        <f>+D115+E115+F115</f>
        <v>0</v>
      </c>
      <c r="D115" s="113"/>
      <c r="E115" s="114"/>
      <c r="F115" s="115"/>
      <c r="H115" s="46">
        <f t="shared" si="6"/>
        <v>0</v>
      </c>
    </row>
    <row r="116" spans="1:8" s="3" customFormat="1" ht="12.75" thickBot="1">
      <c r="A116" s="99" t="s">
        <v>3</v>
      </c>
      <c r="B116" s="80" t="s">
        <v>342</v>
      </c>
      <c r="C116" s="44">
        <f>+C118+C119+C120+C121+C122</f>
        <v>19403</v>
      </c>
      <c r="D116" s="33">
        <f>+D118+D119+D120+D121+D122</f>
        <v>19403</v>
      </c>
      <c r="E116" s="34">
        <f>+E118+E119+E120+E121+E122</f>
        <v>0</v>
      </c>
      <c r="F116" s="35">
        <f>+F118+F119+F120+F121+F122</f>
        <v>0</v>
      </c>
      <c r="H116" s="3">
        <f t="shared" si="6"/>
        <v>0</v>
      </c>
    </row>
    <row r="117" spans="1:8" s="46" customFormat="1">
      <c r="A117" s="895" t="s">
        <v>340</v>
      </c>
      <c r="B117" s="896" t="s">
        <v>347</v>
      </c>
      <c r="C117" s="112">
        <f t="shared" ref="C117:C122" si="8">+D117+E117+F117</f>
        <v>0</v>
      </c>
      <c r="D117" s="113"/>
      <c r="E117" s="114"/>
      <c r="F117" s="115"/>
      <c r="H117" s="46">
        <f t="shared" si="6"/>
        <v>0</v>
      </c>
    </row>
    <row r="118" spans="1:8">
      <c r="A118" s="100" t="s">
        <v>61</v>
      </c>
      <c r="B118" s="81" t="s">
        <v>128</v>
      </c>
      <c r="C118" s="36">
        <f t="shared" si="8"/>
        <v>2770</v>
      </c>
      <c r="D118" s="41">
        <v>2770</v>
      </c>
      <c r="E118" s="11"/>
      <c r="F118" s="42"/>
      <c r="H118" s="4">
        <f t="shared" si="6"/>
        <v>0</v>
      </c>
    </row>
    <row r="119" spans="1:8">
      <c r="A119" s="101" t="s">
        <v>62</v>
      </c>
      <c r="B119" s="83" t="s">
        <v>129</v>
      </c>
      <c r="C119" s="23">
        <f t="shared" si="8"/>
        <v>2200</v>
      </c>
      <c r="D119" s="21">
        <v>2200</v>
      </c>
      <c r="E119" s="12"/>
      <c r="F119" s="17"/>
      <c r="H119" s="4">
        <f t="shared" si="6"/>
        <v>0</v>
      </c>
    </row>
    <row r="120" spans="1:8">
      <c r="A120" s="101" t="s">
        <v>63</v>
      </c>
      <c r="B120" s="83" t="s">
        <v>130</v>
      </c>
      <c r="C120" s="23">
        <f t="shared" si="8"/>
        <v>10260</v>
      </c>
      <c r="D120" s="21">
        <v>10260</v>
      </c>
      <c r="E120" s="12"/>
      <c r="F120" s="17"/>
      <c r="H120" s="4">
        <f t="shared" si="6"/>
        <v>0</v>
      </c>
    </row>
    <row r="121" spans="1:8">
      <c r="A121" s="101" t="s">
        <v>64</v>
      </c>
      <c r="B121" s="83" t="s">
        <v>131</v>
      </c>
      <c r="C121" s="23">
        <f t="shared" si="8"/>
        <v>180</v>
      </c>
      <c r="D121" s="21">
        <v>180</v>
      </c>
      <c r="E121" s="12"/>
      <c r="F121" s="17"/>
      <c r="H121" s="4">
        <f t="shared" si="6"/>
        <v>0</v>
      </c>
    </row>
    <row r="122" spans="1:8" ht="12.75" thickBot="1">
      <c r="A122" s="94" t="s">
        <v>65</v>
      </c>
      <c r="B122" s="84" t="s">
        <v>132</v>
      </c>
      <c r="C122" s="26">
        <f t="shared" si="8"/>
        <v>3993</v>
      </c>
      <c r="D122" s="27">
        <v>3993</v>
      </c>
      <c r="E122" s="28"/>
      <c r="F122" s="29"/>
      <c r="H122" s="4">
        <f t="shared" si="6"/>
        <v>0</v>
      </c>
    </row>
    <row r="123" spans="1:8" s="3" customFormat="1" ht="12.75" thickBot="1">
      <c r="A123" s="99" t="s">
        <v>16</v>
      </c>
      <c r="B123" s="80" t="s">
        <v>309</v>
      </c>
      <c r="C123" s="44">
        <f>+C124+C125+C126+C127+C128+C129+C130+C131</f>
        <v>0</v>
      </c>
      <c r="D123" s="33">
        <f>+D124+D125+D126+D127+D128+D129+D130+D131</f>
        <v>0</v>
      </c>
      <c r="E123" s="34">
        <f>+E124+E125+E126+E127+E128+E129+E130+E131</f>
        <v>0</v>
      </c>
      <c r="F123" s="35">
        <f>+F124+F125+F126+F127+F128+F129+F130+F131</f>
        <v>0</v>
      </c>
      <c r="H123" s="3">
        <f t="shared" si="6"/>
        <v>0</v>
      </c>
    </row>
    <row r="124" spans="1:8">
      <c r="A124" s="100" t="s">
        <v>226</v>
      </c>
      <c r="B124" s="81" t="s">
        <v>133</v>
      </c>
      <c r="C124" s="36">
        <f t="shared" ref="C124:C131" si="9">+D124+E124+F124</f>
        <v>0</v>
      </c>
      <c r="D124" s="41"/>
      <c r="E124" s="11"/>
      <c r="F124" s="42"/>
      <c r="H124" s="4">
        <f t="shared" si="6"/>
        <v>0</v>
      </c>
    </row>
    <row r="125" spans="1:8">
      <c r="A125" s="101" t="s">
        <v>227</v>
      </c>
      <c r="B125" s="83" t="s">
        <v>134</v>
      </c>
      <c r="C125" s="23">
        <f t="shared" si="9"/>
        <v>0</v>
      </c>
      <c r="D125" s="21"/>
      <c r="E125" s="12"/>
      <c r="F125" s="17"/>
      <c r="H125" s="4">
        <f t="shared" si="6"/>
        <v>0</v>
      </c>
    </row>
    <row r="126" spans="1:8">
      <c r="A126" s="101" t="s">
        <v>228</v>
      </c>
      <c r="B126" s="83" t="s">
        <v>135</v>
      </c>
      <c r="C126" s="23">
        <f t="shared" si="9"/>
        <v>0</v>
      </c>
      <c r="D126" s="21"/>
      <c r="E126" s="12"/>
      <c r="F126" s="17"/>
      <c r="H126" s="4">
        <f t="shared" si="6"/>
        <v>0</v>
      </c>
    </row>
    <row r="127" spans="1:8">
      <c r="A127" s="101" t="s">
        <v>256</v>
      </c>
      <c r="B127" s="83" t="s">
        <v>136</v>
      </c>
      <c r="C127" s="23">
        <f t="shared" si="9"/>
        <v>0</v>
      </c>
      <c r="D127" s="21"/>
      <c r="E127" s="12"/>
      <c r="F127" s="17"/>
      <c r="H127" s="4">
        <f t="shared" si="6"/>
        <v>0</v>
      </c>
    </row>
    <row r="128" spans="1:8">
      <c r="A128" s="101" t="s">
        <v>257</v>
      </c>
      <c r="B128" s="83" t="s">
        <v>137</v>
      </c>
      <c r="C128" s="23">
        <f t="shared" si="9"/>
        <v>0</v>
      </c>
      <c r="D128" s="21"/>
      <c r="E128" s="12"/>
      <c r="F128" s="17"/>
      <c r="H128" s="4">
        <f t="shared" si="6"/>
        <v>0</v>
      </c>
    </row>
    <row r="129" spans="1:8">
      <c r="A129" s="101" t="s">
        <v>258</v>
      </c>
      <c r="B129" s="83" t="s">
        <v>138</v>
      </c>
      <c r="C129" s="23">
        <f t="shared" si="9"/>
        <v>0</v>
      </c>
      <c r="D129" s="21"/>
      <c r="E129" s="12"/>
      <c r="F129" s="17"/>
      <c r="H129" s="4">
        <f t="shared" si="6"/>
        <v>0</v>
      </c>
    </row>
    <row r="130" spans="1:8">
      <c r="A130" s="101" t="s">
        <v>259</v>
      </c>
      <c r="B130" s="83" t="s">
        <v>139</v>
      </c>
      <c r="C130" s="23">
        <f t="shared" si="9"/>
        <v>0</v>
      </c>
      <c r="D130" s="21"/>
      <c r="E130" s="12"/>
      <c r="F130" s="17"/>
      <c r="H130" s="4">
        <f t="shared" si="6"/>
        <v>0</v>
      </c>
    </row>
    <row r="131" spans="1:8" ht="12.75" thickBot="1">
      <c r="A131" s="94" t="s">
        <v>260</v>
      </c>
      <c r="B131" s="84" t="s">
        <v>140</v>
      </c>
      <c r="C131" s="26">
        <f t="shared" si="9"/>
        <v>0</v>
      </c>
      <c r="D131" s="27"/>
      <c r="E131" s="28"/>
      <c r="F131" s="29"/>
      <c r="H131" s="4">
        <f t="shared" si="6"/>
        <v>0</v>
      </c>
    </row>
    <row r="132" spans="1:8" s="3" customFormat="1" ht="12.75" thickBot="1">
      <c r="A132" s="99" t="s">
        <v>15</v>
      </c>
      <c r="B132" s="80" t="s">
        <v>923</v>
      </c>
      <c r="C132" s="44">
        <f>+C133+C134+C135+C136+C137+C138+C140+C141+C142+C143+C144+C145+C146</f>
        <v>0</v>
      </c>
      <c r="D132" s="33">
        <f>+D133+D134+D135+D136+D137+D138+D140+D141+D142+D143+D144+D145+D146</f>
        <v>0</v>
      </c>
      <c r="E132" s="34">
        <f>+E133+E134+E135+E136+E137+E138+E140+E141+E142+E143+E144+E145+E146</f>
        <v>0</v>
      </c>
      <c r="F132" s="35">
        <f>+F133+F134+F135+F136+F137+F138+F140+F141+F142+F143+F144+F145+F146</f>
        <v>0</v>
      </c>
      <c r="H132" s="3">
        <f t="shared" si="6"/>
        <v>0</v>
      </c>
    </row>
    <row r="133" spans="1:8">
      <c r="A133" s="100" t="s">
        <v>87</v>
      </c>
      <c r="B133" s="81" t="s">
        <v>141</v>
      </c>
      <c r="C133" s="36">
        <f t="shared" ref="C133:C145" si="10">+D133+E133+F133</f>
        <v>0</v>
      </c>
      <c r="D133" s="41"/>
      <c r="E133" s="11"/>
      <c r="F133" s="42"/>
      <c r="H133" s="4">
        <f t="shared" si="6"/>
        <v>0</v>
      </c>
    </row>
    <row r="134" spans="1:8">
      <c r="A134" s="101" t="s">
        <v>88</v>
      </c>
      <c r="B134" s="83" t="s">
        <v>142</v>
      </c>
      <c r="C134" s="23">
        <f t="shared" si="10"/>
        <v>0</v>
      </c>
      <c r="D134" s="21"/>
      <c r="E134" s="12"/>
      <c r="F134" s="17"/>
      <c r="H134" s="4">
        <f t="shared" si="6"/>
        <v>0</v>
      </c>
    </row>
    <row r="135" spans="1:8">
      <c r="A135" s="101" t="s">
        <v>181</v>
      </c>
      <c r="B135" s="83" t="s">
        <v>143</v>
      </c>
      <c r="C135" s="23">
        <f t="shared" si="10"/>
        <v>0</v>
      </c>
      <c r="D135" s="21"/>
      <c r="E135" s="12"/>
      <c r="F135" s="17"/>
      <c r="H135" s="4">
        <f t="shared" si="6"/>
        <v>0</v>
      </c>
    </row>
    <row r="136" spans="1:8">
      <c r="A136" s="101" t="s">
        <v>182</v>
      </c>
      <c r="B136" s="83" t="s">
        <v>144</v>
      </c>
      <c r="C136" s="23">
        <f t="shared" si="10"/>
        <v>0</v>
      </c>
      <c r="D136" s="21"/>
      <c r="E136" s="12"/>
      <c r="F136" s="17"/>
      <c r="H136" s="4">
        <f t="shared" si="6"/>
        <v>0</v>
      </c>
    </row>
    <row r="137" spans="1:8">
      <c r="A137" s="101" t="s">
        <v>183</v>
      </c>
      <c r="B137" s="83" t="s">
        <v>145</v>
      </c>
      <c r="C137" s="23">
        <f t="shared" si="10"/>
        <v>0</v>
      </c>
      <c r="D137" s="21"/>
      <c r="E137" s="12"/>
      <c r="F137" s="17"/>
      <c r="H137" s="4">
        <f t="shared" si="6"/>
        <v>0</v>
      </c>
    </row>
    <row r="138" spans="1:8">
      <c r="A138" s="101" t="s">
        <v>261</v>
      </c>
      <c r="B138" s="83" t="s">
        <v>146</v>
      </c>
      <c r="C138" s="23">
        <f t="shared" si="10"/>
        <v>0</v>
      </c>
      <c r="D138" s="21"/>
      <c r="E138" s="12"/>
      <c r="F138" s="17"/>
      <c r="H138" s="4">
        <f t="shared" si="6"/>
        <v>0</v>
      </c>
    </row>
    <row r="139" spans="1:8" s="14" customFormat="1">
      <c r="A139" s="105" t="s">
        <v>335</v>
      </c>
      <c r="B139" s="894" t="s">
        <v>929</v>
      </c>
      <c r="C139" s="58">
        <f t="shared" si="10"/>
        <v>0</v>
      </c>
      <c r="D139" s="56"/>
      <c r="E139" s="54"/>
      <c r="F139" s="55"/>
      <c r="H139" s="14">
        <f t="shared" ref="H139:H202" si="11">+C139-D139-E139-F139</f>
        <v>0</v>
      </c>
    </row>
    <row r="140" spans="1:8">
      <c r="A140" s="101" t="s">
        <v>262</v>
      </c>
      <c r="B140" s="83" t="s">
        <v>147</v>
      </c>
      <c r="C140" s="23">
        <f t="shared" si="10"/>
        <v>0</v>
      </c>
      <c r="D140" s="21"/>
      <c r="E140" s="12"/>
      <c r="F140" s="17"/>
      <c r="H140" s="4">
        <f t="shared" si="11"/>
        <v>0</v>
      </c>
    </row>
    <row r="141" spans="1:8">
      <c r="A141" s="101" t="s">
        <v>263</v>
      </c>
      <c r="B141" s="83" t="s">
        <v>148</v>
      </c>
      <c r="C141" s="23">
        <f t="shared" si="10"/>
        <v>0</v>
      </c>
      <c r="D141" s="21"/>
      <c r="E141" s="12"/>
      <c r="F141" s="17"/>
      <c r="H141" s="4">
        <f t="shared" si="11"/>
        <v>0</v>
      </c>
    </row>
    <row r="142" spans="1:8">
      <c r="A142" s="101" t="s">
        <v>264</v>
      </c>
      <c r="B142" s="83" t="s">
        <v>149</v>
      </c>
      <c r="C142" s="23">
        <f t="shared" si="10"/>
        <v>0</v>
      </c>
      <c r="D142" s="21"/>
      <c r="E142" s="12"/>
      <c r="F142" s="17"/>
      <c r="H142" s="4">
        <f t="shared" si="11"/>
        <v>0</v>
      </c>
    </row>
    <row r="143" spans="1:8">
      <c r="A143" s="101" t="s">
        <v>265</v>
      </c>
      <c r="B143" s="83" t="s">
        <v>150</v>
      </c>
      <c r="C143" s="23">
        <f t="shared" si="10"/>
        <v>0</v>
      </c>
      <c r="D143" s="21"/>
      <c r="E143" s="12"/>
      <c r="F143" s="17"/>
      <c r="H143" s="4">
        <f t="shared" si="11"/>
        <v>0</v>
      </c>
    </row>
    <row r="144" spans="1:8">
      <c r="A144" s="101" t="s">
        <v>266</v>
      </c>
      <c r="B144" s="83" t="s">
        <v>924</v>
      </c>
      <c r="C144" s="23">
        <f>+D144+E144+F144</f>
        <v>0</v>
      </c>
      <c r="D144" s="21"/>
      <c r="E144" s="12"/>
      <c r="F144" s="17"/>
      <c r="H144" s="4">
        <f t="shared" si="11"/>
        <v>0</v>
      </c>
    </row>
    <row r="145" spans="1:8">
      <c r="A145" s="101" t="s">
        <v>267</v>
      </c>
      <c r="B145" s="83" t="s">
        <v>925</v>
      </c>
      <c r="C145" s="23">
        <f t="shared" si="10"/>
        <v>0</v>
      </c>
      <c r="D145" s="21"/>
      <c r="E145" s="12"/>
      <c r="F145" s="17"/>
      <c r="H145" s="4">
        <f t="shared" si="11"/>
        <v>0</v>
      </c>
    </row>
    <row r="146" spans="1:8">
      <c r="A146" s="94" t="s">
        <v>920</v>
      </c>
      <c r="B146" s="84" t="s">
        <v>926</v>
      </c>
      <c r="C146" s="26">
        <f>+C147+C148</f>
        <v>0</v>
      </c>
      <c r="D146" s="27">
        <f>+D147+D148</f>
        <v>0</v>
      </c>
      <c r="E146" s="28">
        <f>+E147+E148</f>
        <v>0</v>
      </c>
      <c r="F146" s="29">
        <f>+F147+F148</f>
        <v>0</v>
      </c>
      <c r="H146" s="4">
        <f t="shared" si="11"/>
        <v>0</v>
      </c>
    </row>
    <row r="147" spans="1:8" s="14" customFormat="1">
      <c r="A147" s="105" t="s">
        <v>921</v>
      </c>
      <c r="B147" s="90" t="s">
        <v>927</v>
      </c>
      <c r="C147" s="58">
        <f>+D147+E147+F147</f>
        <v>0</v>
      </c>
      <c r="D147" s="56"/>
      <c r="E147" s="54"/>
      <c r="F147" s="55"/>
      <c r="H147" s="14">
        <f t="shared" si="11"/>
        <v>0</v>
      </c>
    </row>
    <row r="148" spans="1:8" s="14" customFormat="1" ht="12.75" thickBot="1">
      <c r="A148" s="105" t="s">
        <v>922</v>
      </c>
      <c r="B148" s="90" t="s">
        <v>928</v>
      </c>
      <c r="C148" s="58">
        <f>+D148+E148+F148</f>
        <v>0</v>
      </c>
      <c r="D148" s="56"/>
      <c r="E148" s="54"/>
      <c r="F148" s="55"/>
      <c r="H148" s="14">
        <f t="shared" si="11"/>
        <v>0</v>
      </c>
    </row>
    <row r="149" spans="1:8" s="3" customFormat="1" ht="12.75" thickBot="1">
      <c r="A149" s="99" t="s">
        <v>14</v>
      </c>
      <c r="B149" s="85" t="s">
        <v>310</v>
      </c>
      <c r="C149" s="44">
        <f>+C150+C159+C165</f>
        <v>10372</v>
      </c>
      <c r="D149" s="33">
        <f>+D150+D159+D165</f>
        <v>10372</v>
      </c>
      <c r="E149" s="34">
        <f>+E150+E159+E165</f>
        <v>0</v>
      </c>
      <c r="F149" s="35">
        <f>+F150+F159+F165</f>
        <v>0</v>
      </c>
      <c r="H149" s="3">
        <f t="shared" si="11"/>
        <v>0</v>
      </c>
    </row>
    <row r="150" spans="1:8" s="3" customFormat="1" ht="12.75" thickBot="1">
      <c r="A150" s="99" t="s">
        <v>13</v>
      </c>
      <c r="B150" s="80" t="s">
        <v>311</v>
      </c>
      <c r="C150" s="44">
        <f>+C152+C153+C154+C155+C156+C157+C158</f>
        <v>10372</v>
      </c>
      <c r="D150" s="33">
        <f>+D152+D153+D154+D155+D156+D157+D158</f>
        <v>10372</v>
      </c>
      <c r="E150" s="34">
        <f>+E152+E153+E154+E155+E156+E157+E158</f>
        <v>0</v>
      </c>
      <c r="F150" s="35">
        <f>+F152+F153+F154+F155+F156+F157+F158</f>
        <v>0</v>
      </c>
      <c r="H150" s="3">
        <f t="shared" si="11"/>
        <v>0</v>
      </c>
    </row>
    <row r="151" spans="1:8" s="46" customFormat="1">
      <c r="A151" s="895" t="s">
        <v>930</v>
      </c>
      <c r="B151" s="896" t="s">
        <v>341</v>
      </c>
      <c r="C151" s="112">
        <f t="shared" ref="C151:C158" si="12">+D151+E151+F151</f>
        <v>0</v>
      </c>
      <c r="D151" s="113"/>
      <c r="E151" s="114"/>
      <c r="F151" s="115"/>
      <c r="H151" s="46">
        <f t="shared" si="11"/>
        <v>0</v>
      </c>
    </row>
    <row r="152" spans="1:8">
      <c r="A152" s="100" t="s">
        <v>66</v>
      </c>
      <c r="B152" s="81" t="s">
        <v>151</v>
      </c>
      <c r="C152" s="36">
        <f t="shared" si="12"/>
        <v>0</v>
      </c>
      <c r="D152" s="41"/>
      <c r="E152" s="11"/>
      <c r="F152" s="42"/>
      <c r="H152" s="4">
        <f t="shared" si="11"/>
        <v>0</v>
      </c>
    </row>
    <row r="153" spans="1:8">
      <c r="A153" s="101" t="s">
        <v>67</v>
      </c>
      <c r="B153" s="83" t="s">
        <v>152</v>
      </c>
      <c r="C153" s="23">
        <f t="shared" si="12"/>
        <v>0</v>
      </c>
      <c r="D153" s="21"/>
      <c r="E153" s="12"/>
      <c r="F153" s="17"/>
      <c r="H153" s="4">
        <f t="shared" si="11"/>
        <v>0</v>
      </c>
    </row>
    <row r="154" spans="1:8">
      <c r="A154" s="101" t="s">
        <v>68</v>
      </c>
      <c r="B154" s="83" t="s">
        <v>153</v>
      </c>
      <c r="C154" s="23">
        <f t="shared" si="12"/>
        <v>550</v>
      </c>
      <c r="D154" s="21">
        <v>550</v>
      </c>
      <c r="E154" s="12"/>
      <c r="F154" s="17"/>
      <c r="H154" s="4">
        <f t="shared" si="11"/>
        <v>0</v>
      </c>
    </row>
    <row r="155" spans="1:8">
      <c r="A155" s="101" t="s">
        <v>229</v>
      </c>
      <c r="B155" s="83" t="s">
        <v>154</v>
      </c>
      <c r="C155" s="23">
        <f t="shared" si="12"/>
        <v>7615</v>
      </c>
      <c r="D155" s="21">
        <v>7615</v>
      </c>
      <c r="E155" s="12"/>
      <c r="F155" s="17"/>
      <c r="H155" s="4">
        <f t="shared" si="11"/>
        <v>0</v>
      </c>
    </row>
    <row r="156" spans="1:8">
      <c r="A156" s="101" t="s">
        <v>230</v>
      </c>
      <c r="B156" s="83" t="s">
        <v>155</v>
      </c>
      <c r="C156" s="23">
        <f t="shared" si="12"/>
        <v>0</v>
      </c>
      <c r="D156" s="21"/>
      <c r="E156" s="12"/>
      <c r="F156" s="17"/>
      <c r="H156" s="4">
        <f t="shared" si="11"/>
        <v>0</v>
      </c>
    </row>
    <row r="157" spans="1:8">
      <c r="A157" s="101" t="s">
        <v>268</v>
      </c>
      <c r="B157" s="83" t="s">
        <v>156</v>
      </c>
      <c r="C157" s="23">
        <f t="shared" si="12"/>
        <v>0</v>
      </c>
      <c r="D157" s="21"/>
      <c r="E157" s="12"/>
      <c r="F157" s="17"/>
      <c r="H157" s="4">
        <f t="shared" si="11"/>
        <v>0</v>
      </c>
    </row>
    <row r="158" spans="1:8" ht="12.75" thickBot="1">
      <c r="A158" s="94" t="s">
        <v>269</v>
      </c>
      <c r="B158" s="84" t="s">
        <v>157</v>
      </c>
      <c r="C158" s="26">
        <f t="shared" si="12"/>
        <v>2207</v>
      </c>
      <c r="D158" s="27">
        <v>2207</v>
      </c>
      <c r="E158" s="28"/>
      <c r="F158" s="29"/>
      <c r="H158" s="4">
        <f t="shared" si="11"/>
        <v>0</v>
      </c>
    </row>
    <row r="159" spans="1:8" s="3" customFormat="1" ht="12.75" thickBot="1">
      <c r="A159" s="99" t="s">
        <v>12</v>
      </c>
      <c r="B159" s="80" t="s">
        <v>312</v>
      </c>
      <c r="C159" s="44">
        <f>+C161+C162+C163+C164</f>
        <v>0</v>
      </c>
      <c r="D159" s="33">
        <f>+D161+D162+D163+D164</f>
        <v>0</v>
      </c>
      <c r="E159" s="34">
        <f>+E161+E162+E163+E164</f>
        <v>0</v>
      </c>
      <c r="F159" s="35">
        <f>+F161+F162+F163+F164</f>
        <v>0</v>
      </c>
      <c r="H159" s="3">
        <f t="shared" si="11"/>
        <v>0</v>
      </c>
    </row>
    <row r="160" spans="1:8" s="46" customFormat="1">
      <c r="A160" s="895" t="s">
        <v>343</v>
      </c>
      <c r="B160" s="896" t="s">
        <v>344</v>
      </c>
      <c r="C160" s="112">
        <f>+D160+E160+F160</f>
        <v>0</v>
      </c>
      <c r="D160" s="113"/>
      <c r="E160" s="114"/>
      <c r="F160" s="115"/>
      <c r="H160" s="46">
        <f t="shared" si="11"/>
        <v>0</v>
      </c>
    </row>
    <row r="161" spans="1:8">
      <c r="A161" s="100" t="s">
        <v>69</v>
      </c>
      <c r="B161" s="81" t="s">
        <v>158</v>
      </c>
      <c r="C161" s="36">
        <f>+D161+E161+F161</f>
        <v>0</v>
      </c>
      <c r="D161" s="41"/>
      <c r="E161" s="11"/>
      <c r="F161" s="42"/>
      <c r="H161" s="4">
        <f t="shared" si="11"/>
        <v>0</v>
      </c>
    </row>
    <row r="162" spans="1:8">
      <c r="A162" s="101" t="s">
        <v>70</v>
      </c>
      <c r="B162" s="83" t="s">
        <v>159</v>
      </c>
      <c r="C162" s="23">
        <f>+D162+E162+F162</f>
        <v>0</v>
      </c>
      <c r="D162" s="21"/>
      <c r="E162" s="12"/>
      <c r="F162" s="17"/>
      <c r="H162" s="4">
        <f t="shared" si="11"/>
        <v>0</v>
      </c>
    </row>
    <row r="163" spans="1:8">
      <c r="A163" s="101" t="s">
        <v>71</v>
      </c>
      <c r="B163" s="83" t="s">
        <v>160</v>
      </c>
      <c r="C163" s="23">
        <f>+D163+E163+F163</f>
        <v>0</v>
      </c>
      <c r="D163" s="21"/>
      <c r="E163" s="12"/>
      <c r="F163" s="17"/>
      <c r="H163" s="4">
        <f t="shared" si="11"/>
        <v>0</v>
      </c>
    </row>
    <row r="164" spans="1:8" ht="12.75" thickBot="1">
      <c r="A164" s="94" t="s">
        <v>72</v>
      </c>
      <c r="B164" s="84" t="s">
        <v>161</v>
      </c>
      <c r="C164" s="26">
        <f>+D164+E164+F164</f>
        <v>0</v>
      </c>
      <c r="D164" s="27"/>
      <c r="E164" s="28"/>
      <c r="F164" s="29"/>
      <c r="H164" s="4">
        <f t="shared" si="11"/>
        <v>0</v>
      </c>
    </row>
    <row r="165" spans="1:8" s="3" customFormat="1" ht="12.75" thickBot="1">
      <c r="A165" s="99" t="s">
        <v>11</v>
      </c>
      <c r="B165" s="80" t="s">
        <v>932</v>
      </c>
      <c r="C165" s="44">
        <f>+C166+C167+C168+C169+C171+C172+C173+C174+C175</f>
        <v>0</v>
      </c>
      <c r="D165" s="33">
        <f>+D166+D167+D168+D169+D171+D172+D173+D174+D175</f>
        <v>0</v>
      </c>
      <c r="E165" s="34">
        <f>+E166+E167+E168+E169+E171+E172+E173+E174+E175</f>
        <v>0</v>
      </c>
      <c r="F165" s="35">
        <f>+F166+F167+F168+F169+F171+F172+F173+F174+F175</f>
        <v>0</v>
      </c>
      <c r="H165" s="3">
        <f t="shared" si="11"/>
        <v>0</v>
      </c>
    </row>
    <row r="166" spans="1:8">
      <c r="A166" s="100" t="s">
        <v>270</v>
      </c>
      <c r="B166" s="81" t="s">
        <v>162</v>
      </c>
      <c r="C166" s="36">
        <f t="shared" ref="C166:C175" si="13">+D166+E166+F166</f>
        <v>0</v>
      </c>
      <c r="D166" s="41"/>
      <c r="E166" s="11"/>
      <c r="F166" s="42"/>
      <c r="H166" s="4">
        <f t="shared" si="11"/>
        <v>0</v>
      </c>
    </row>
    <row r="167" spans="1:8">
      <c r="A167" s="101" t="s">
        <v>271</v>
      </c>
      <c r="B167" s="83" t="s">
        <v>163</v>
      </c>
      <c r="C167" s="23">
        <f t="shared" si="13"/>
        <v>0</v>
      </c>
      <c r="D167" s="21"/>
      <c r="E167" s="12"/>
      <c r="F167" s="17"/>
      <c r="H167" s="4">
        <f t="shared" si="11"/>
        <v>0</v>
      </c>
    </row>
    <row r="168" spans="1:8">
      <c r="A168" s="101" t="s">
        <v>272</v>
      </c>
      <c r="B168" s="83" t="s">
        <v>164</v>
      </c>
      <c r="C168" s="23">
        <f t="shared" si="13"/>
        <v>0</v>
      </c>
      <c r="D168" s="21"/>
      <c r="E168" s="12"/>
      <c r="F168" s="17"/>
      <c r="H168" s="4">
        <f t="shared" si="11"/>
        <v>0</v>
      </c>
    </row>
    <row r="169" spans="1:8">
      <c r="A169" s="101" t="s">
        <v>273</v>
      </c>
      <c r="B169" s="83" t="s">
        <v>165</v>
      </c>
      <c r="C169" s="23">
        <f t="shared" si="13"/>
        <v>0</v>
      </c>
      <c r="D169" s="21"/>
      <c r="E169" s="12"/>
      <c r="F169" s="17"/>
      <c r="H169" s="4">
        <f t="shared" si="11"/>
        <v>0</v>
      </c>
    </row>
    <row r="170" spans="1:8" s="14" customFormat="1">
      <c r="A170" s="105" t="s">
        <v>338</v>
      </c>
      <c r="B170" s="894" t="s">
        <v>339</v>
      </c>
      <c r="C170" s="58">
        <f t="shared" si="13"/>
        <v>0</v>
      </c>
      <c r="D170" s="56"/>
      <c r="E170" s="54"/>
      <c r="F170" s="55"/>
      <c r="H170" s="14">
        <f t="shared" si="11"/>
        <v>0</v>
      </c>
    </row>
    <row r="171" spans="1:8">
      <c r="A171" s="101" t="s">
        <v>274</v>
      </c>
      <c r="B171" s="83" t="s">
        <v>166</v>
      </c>
      <c r="C171" s="23">
        <f t="shared" si="13"/>
        <v>0</v>
      </c>
      <c r="D171" s="21"/>
      <c r="E171" s="12"/>
      <c r="F171" s="17"/>
      <c r="H171" s="4">
        <f t="shared" si="11"/>
        <v>0</v>
      </c>
    </row>
    <row r="172" spans="1:8">
      <c r="A172" s="101" t="s">
        <v>275</v>
      </c>
      <c r="B172" s="83" t="s">
        <v>167</v>
      </c>
      <c r="C172" s="23">
        <f t="shared" si="13"/>
        <v>0</v>
      </c>
      <c r="D172" s="21"/>
      <c r="E172" s="12"/>
      <c r="F172" s="17"/>
      <c r="H172" s="4">
        <f t="shared" si="11"/>
        <v>0</v>
      </c>
    </row>
    <row r="173" spans="1:8">
      <c r="A173" s="101" t="s">
        <v>276</v>
      </c>
      <c r="B173" s="83" t="s">
        <v>168</v>
      </c>
      <c r="C173" s="23">
        <f t="shared" si="13"/>
        <v>0</v>
      </c>
      <c r="D173" s="21"/>
      <c r="E173" s="12"/>
      <c r="F173" s="17"/>
      <c r="H173" s="4">
        <f t="shared" si="11"/>
        <v>0</v>
      </c>
    </row>
    <row r="174" spans="1:8">
      <c r="A174" s="101" t="s">
        <v>277</v>
      </c>
      <c r="B174" s="83" t="s">
        <v>933</v>
      </c>
      <c r="C174" s="23">
        <f>+D174+E174+F174</f>
        <v>0</v>
      </c>
      <c r="D174" s="21"/>
      <c r="E174" s="12"/>
      <c r="F174" s="17"/>
      <c r="H174" s="4">
        <f t="shared" si="11"/>
        <v>0</v>
      </c>
    </row>
    <row r="175" spans="1:8" ht="12.75" thickBot="1">
      <c r="A175" s="94" t="s">
        <v>931</v>
      </c>
      <c r="B175" s="84" t="s">
        <v>934</v>
      </c>
      <c r="C175" s="26">
        <f t="shared" si="13"/>
        <v>0</v>
      </c>
      <c r="D175" s="27"/>
      <c r="E175" s="28"/>
      <c r="F175" s="29"/>
      <c r="H175" s="4">
        <f t="shared" si="11"/>
        <v>0</v>
      </c>
    </row>
    <row r="176" spans="1:8" s="3" customFormat="1" ht="12.75" thickBot="1">
      <c r="A176" s="99" t="s">
        <v>10</v>
      </c>
      <c r="B176" s="85" t="s">
        <v>313</v>
      </c>
      <c r="C176" s="44">
        <f>+C109+C149</f>
        <v>60130</v>
      </c>
      <c r="D176" s="33">
        <f>+D109+D149</f>
        <v>60130</v>
      </c>
      <c r="E176" s="34">
        <f>+E109+E149</f>
        <v>0</v>
      </c>
      <c r="F176" s="35">
        <f>+F109+F149</f>
        <v>0</v>
      </c>
      <c r="H176" s="3">
        <f t="shared" si="11"/>
        <v>0</v>
      </c>
    </row>
    <row r="177" spans="1:8" s="3" customFormat="1" ht="12.75" thickBot="1">
      <c r="A177" s="99" t="s">
        <v>9</v>
      </c>
      <c r="B177" s="86" t="s">
        <v>314</v>
      </c>
      <c r="C177" s="44">
        <f>+C178</f>
        <v>0</v>
      </c>
      <c r="D177" s="33">
        <f>+D178</f>
        <v>0</v>
      </c>
      <c r="E177" s="34">
        <f>+E178</f>
        <v>0</v>
      </c>
      <c r="F177" s="35">
        <f>+F178</f>
        <v>0</v>
      </c>
      <c r="H177" s="3">
        <f t="shared" si="11"/>
        <v>0</v>
      </c>
    </row>
    <row r="178" spans="1:8" s="3" customFormat="1" ht="12.75" thickBot="1">
      <c r="A178" s="99" t="s">
        <v>45</v>
      </c>
      <c r="B178" s="80" t="s">
        <v>941</v>
      </c>
      <c r="C178" s="44">
        <f>+C179+C189+C190+C191</f>
        <v>0</v>
      </c>
      <c r="D178" s="33">
        <f>+D179+D189+D190+D191</f>
        <v>0</v>
      </c>
      <c r="E178" s="34">
        <f>+E179+E189+E190+E191</f>
        <v>0</v>
      </c>
      <c r="F178" s="35">
        <f>+F179+F189+F190+F191</f>
        <v>0</v>
      </c>
      <c r="H178" s="3">
        <f t="shared" si="11"/>
        <v>0</v>
      </c>
    </row>
    <row r="179" spans="1:8">
      <c r="A179" s="100" t="s">
        <v>75</v>
      </c>
      <c r="B179" s="81" t="s">
        <v>942</v>
      </c>
      <c r="C179" s="36">
        <f>+C180+C181+C182+C183+C184+C185+C186+C187+C188</f>
        <v>0</v>
      </c>
      <c r="D179" s="41">
        <f>+D180+D181+D182+D183+D184+D185+D186+D187+D188</f>
        <v>0</v>
      </c>
      <c r="E179" s="11">
        <f>+E180+E181+E182+E183+E184+E185+E186+E187+E188</f>
        <v>0</v>
      </c>
      <c r="F179" s="42">
        <f>+F180+F181+F182+F183+F184+F185+F186+F187+F188</f>
        <v>0</v>
      </c>
      <c r="H179" s="4">
        <f t="shared" si="11"/>
        <v>0</v>
      </c>
    </row>
    <row r="180" spans="1:8" s="14" customFormat="1">
      <c r="A180" s="102" t="s">
        <v>204</v>
      </c>
      <c r="B180" s="82" t="s">
        <v>169</v>
      </c>
      <c r="C180" s="24">
        <f t="shared" ref="C180:C190" si="14">+D180+E180+F180</f>
        <v>0</v>
      </c>
      <c r="D180" s="20"/>
      <c r="E180" s="13"/>
      <c r="F180" s="16"/>
      <c r="H180" s="14">
        <f t="shared" si="11"/>
        <v>0</v>
      </c>
    </row>
    <row r="181" spans="1:8" s="14" customFormat="1">
      <c r="A181" s="102" t="s">
        <v>205</v>
      </c>
      <c r="B181" s="82" t="s">
        <v>170</v>
      </c>
      <c r="C181" s="24">
        <f t="shared" si="14"/>
        <v>0</v>
      </c>
      <c r="D181" s="20"/>
      <c r="E181" s="13"/>
      <c r="F181" s="16"/>
      <c r="H181" s="14">
        <f t="shared" si="11"/>
        <v>0</v>
      </c>
    </row>
    <row r="182" spans="1:8" s="14" customFormat="1">
      <c r="A182" s="102" t="s">
        <v>206</v>
      </c>
      <c r="B182" s="82" t="s">
        <v>171</v>
      </c>
      <c r="C182" s="24">
        <f t="shared" si="14"/>
        <v>0</v>
      </c>
      <c r="D182" s="20"/>
      <c r="E182" s="13"/>
      <c r="F182" s="16"/>
      <c r="H182" s="14">
        <f t="shared" si="11"/>
        <v>0</v>
      </c>
    </row>
    <row r="183" spans="1:8" s="14" customFormat="1">
      <c r="A183" s="102" t="s">
        <v>207</v>
      </c>
      <c r="B183" s="82" t="s">
        <v>172</v>
      </c>
      <c r="C183" s="24">
        <f t="shared" si="14"/>
        <v>0</v>
      </c>
      <c r="D183" s="20"/>
      <c r="E183" s="13"/>
      <c r="F183" s="16"/>
      <c r="H183" s="14">
        <f t="shared" si="11"/>
        <v>0</v>
      </c>
    </row>
    <row r="184" spans="1:8" s="14" customFormat="1">
      <c r="A184" s="127" t="s">
        <v>208</v>
      </c>
      <c r="B184" s="128" t="s">
        <v>173</v>
      </c>
      <c r="C184" s="24">
        <f t="shared" si="14"/>
        <v>0</v>
      </c>
      <c r="D184" s="807"/>
      <c r="E184" s="808"/>
      <c r="F184" s="809"/>
      <c r="H184" s="140">
        <f t="shared" si="11"/>
        <v>0</v>
      </c>
    </row>
    <row r="185" spans="1:8" s="14" customFormat="1">
      <c r="A185" s="102" t="s">
        <v>209</v>
      </c>
      <c r="B185" s="82" t="s">
        <v>178</v>
      </c>
      <c r="C185" s="24">
        <f t="shared" si="14"/>
        <v>0</v>
      </c>
      <c r="D185" s="807"/>
      <c r="E185" s="808"/>
      <c r="F185" s="809"/>
      <c r="H185" s="14">
        <f t="shared" si="11"/>
        <v>0</v>
      </c>
    </row>
    <row r="186" spans="1:8" s="14" customFormat="1">
      <c r="A186" s="102" t="s">
        <v>210</v>
      </c>
      <c r="B186" s="82" t="s">
        <v>174</v>
      </c>
      <c r="C186" s="24">
        <f t="shared" si="14"/>
        <v>0</v>
      </c>
      <c r="D186" s="807"/>
      <c r="E186" s="808"/>
      <c r="F186" s="809"/>
      <c r="H186" s="14">
        <f t="shared" si="11"/>
        <v>0</v>
      </c>
    </row>
    <row r="187" spans="1:8" s="14" customFormat="1">
      <c r="A187" s="102" t="s">
        <v>211</v>
      </c>
      <c r="B187" s="82" t="s">
        <v>175</v>
      </c>
      <c r="C187" s="24">
        <f t="shared" si="14"/>
        <v>0</v>
      </c>
      <c r="D187" s="807"/>
      <c r="E187" s="808"/>
      <c r="F187" s="809"/>
      <c r="H187" s="14">
        <f t="shared" si="11"/>
        <v>0</v>
      </c>
    </row>
    <row r="188" spans="1:8" s="14" customFormat="1">
      <c r="A188" s="102" t="s">
        <v>935</v>
      </c>
      <c r="B188" s="82" t="s">
        <v>937</v>
      </c>
      <c r="C188" s="24">
        <f>+D188+E188+F188</f>
        <v>0</v>
      </c>
      <c r="D188" s="807"/>
      <c r="E188" s="808"/>
      <c r="F188" s="809"/>
      <c r="H188" s="14">
        <f t="shared" si="11"/>
        <v>0</v>
      </c>
    </row>
    <row r="189" spans="1:8">
      <c r="A189" s="101" t="s">
        <v>76</v>
      </c>
      <c r="B189" s="83" t="s">
        <v>176</v>
      </c>
      <c r="C189" s="23">
        <f t="shared" si="14"/>
        <v>0</v>
      </c>
      <c r="D189" s="1329"/>
      <c r="E189" s="1330"/>
      <c r="F189" s="1331"/>
      <c r="H189" s="4">
        <f t="shared" si="11"/>
        <v>0</v>
      </c>
    </row>
    <row r="190" spans="1:8">
      <c r="A190" s="94" t="s">
        <v>77</v>
      </c>
      <c r="B190" s="84" t="s">
        <v>177</v>
      </c>
      <c r="C190" s="26">
        <f t="shared" si="14"/>
        <v>0</v>
      </c>
      <c r="D190" s="1332"/>
      <c r="E190" s="1333"/>
      <c r="F190" s="1334"/>
      <c r="H190" s="4">
        <f t="shared" si="11"/>
        <v>0</v>
      </c>
    </row>
    <row r="191" spans="1:8" ht="12.75" thickBot="1">
      <c r="A191" s="94" t="s">
        <v>940</v>
      </c>
      <c r="B191" s="84" t="s">
        <v>938</v>
      </c>
      <c r="C191" s="26">
        <f>+D191+E191+F191</f>
        <v>0</v>
      </c>
      <c r="D191" s="1332"/>
      <c r="E191" s="1333"/>
      <c r="F191" s="1334"/>
      <c r="H191" s="4">
        <f t="shared" si="11"/>
        <v>0</v>
      </c>
    </row>
    <row r="192" spans="1:8" s="3" customFormat="1" ht="12.75" thickBot="1">
      <c r="A192" s="99" t="s">
        <v>44</v>
      </c>
      <c r="B192" s="85" t="s">
        <v>315</v>
      </c>
      <c r="C192" s="44">
        <f>+C193</f>
        <v>0</v>
      </c>
      <c r="D192" s="131">
        <f>+D193</f>
        <v>0</v>
      </c>
      <c r="E192" s="132">
        <f>+E193</f>
        <v>0</v>
      </c>
      <c r="F192" s="133">
        <f>+F193</f>
        <v>0</v>
      </c>
      <c r="H192" s="3">
        <f t="shared" si="11"/>
        <v>0</v>
      </c>
    </row>
    <row r="193" spans="1:8" s="3" customFormat="1" ht="12.75" thickBot="1">
      <c r="A193" s="99" t="s">
        <v>43</v>
      </c>
      <c r="B193" s="80" t="s">
        <v>936</v>
      </c>
      <c r="C193" s="44">
        <f>+C194+C204+C205+C206</f>
        <v>0</v>
      </c>
      <c r="D193" s="33">
        <f>+D194+D204+D205+D206</f>
        <v>0</v>
      </c>
      <c r="E193" s="34">
        <f>+E194+E204+E205+E206</f>
        <v>0</v>
      </c>
      <c r="F193" s="35">
        <f>+F194+F204+F205+F206</f>
        <v>0</v>
      </c>
      <c r="H193" s="3">
        <f t="shared" si="11"/>
        <v>0</v>
      </c>
    </row>
    <row r="194" spans="1:8">
      <c r="A194" s="100" t="s">
        <v>78</v>
      </c>
      <c r="B194" s="81" t="s">
        <v>971</v>
      </c>
      <c r="C194" s="36">
        <f>+C195+C196+C197+C198+C199+C200+C201+C202+C203</f>
        <v>0</v>
      </c>
      <c r="D194" s="41">
        <f>+D195+D196+D197+D198+D199+D200+D201+D202+D203</f>
        <v>0</v>
      </c>
      <c r="E194" s="11">
        <f>+E195+E196+E197+E198+E199+E200+E201+E202+E203</f>
        <v>0</v>
      </c>
      <c r="F194" s="42">
        <f>+F195+F196+F197+F198+F199+F200+F201+F202+F203</f>
        <v>0</v>
      </c>
      <c r="H194" s="4">
        <f t="shared" si="11"/>
        <v>0</v>
      </c>
    </row>
    <row r="195" spans="1:8" s="14" customFormat="1">
      <c r="A195" s="102" t="s">
        <v>212</v>
      </c>
      <c r="B195" s="82" t="s">
        <v>169</v>
      </c>
      <c r="C195" s="24">
        <f t="shared" ref="C195:C205" si="15">+D195+E195+F195</f>
        <v>0</v>
      </c>
      <c r="D195" s="807"/>
      <c r="E195" s="808"/>
      <c r="F195" s="809"/>
      <c r="H195" s="14">
        <f t="shared" si="11"/>
        <v>0</v>
      </c>
    </row>
    <row r="196" spans="1:8" s="14" customFormat="1">
      <c r="A196" s="102" t="s">
        <v>213</v>
      </c>
      <c r="B196" s="82" t="s">
        <v>170</v>
      </c>
      <c r="C196" s="24">
        <f t="shared" si="15"/>
        <v>0</v>
      </c>
      <c r="D196" s="807"/>
      <c r="E196" s="808"/>
      <c r="F196" s="809"/>
      <c r="H196" s="14">
        <f t="shared" si="11"/>
        <v>0</v>
      </c>
    </row>
    <row r="197" spans="1:8" s="14" customFormat="1">
      <c r="A197" s="102" t="s">
        <v>214</v>
      </c>
      <c r="B197" s="82" t="s">
        <v>171</v>
      </c>
      <c r="C197" s="24">
        <f t="shared" si="15"/>
        <v>0</v>
      </c>
      <c r="D197" s="807"/>
      <c r="E197" s="808"/>
      <c r="F197" s="809"/>
      <c r="H197" s="14">
        <f t="shared" si="11"/>
        <v>0</v>
      </c>
    </row>
    <row r="198" spans="1:8" s="14" customFormat="1">
      <c r="A198" s="102" t="s">
        <v>215</v>
      </c>
      <c r="B198" s="82" t="s">
        <v>172</v>
      </c>
      <c r="C198" s="24">
        <f t="shared" si="15"/>
        <v>0</v>
      </c>
      <c r="D198" s="807"/>
      <c r="E198" s="808"/>
      <c r="F198" s="809"/>
      <c r="H198" s="14">
        <f t="shared" si="11"/>
        <v>0</v>
      </c>
    </row>
    <row r="199" spans="1:8" s="14" customFormat="1">
      <c r="A199" s="127" t="s">
        <v>216</v>
      </c>
      <c r="B199" s="128" t="s">
        <v>173</v>
      </c>
      <c r="C199" s="24">
        <f t="shared" si="15"/>
        <v>0</v>
      </c>
      <c r="D199" s="807"/>
      <c r="E199" s="808"/>
      <c r="F199" s="809"/>
      <c r="H199" s="140">
        <f t="shared" si="11"/>
        <v>0</v>
      </c>
    </row>
    <row r="200" spans="1:8" s="14" customFormat="1">
      <c r="A200" s="102" t="s">
        <v>217</v>
      </c>
      <c r="B200" s="82" t="s">
        <v>178</v>
      </c>
      <c r="C200" s="24">
        <f t="shared" si="15"/>
        <v>0</v>
      </c>
      <c r="D200" s="807"/>
      <c r="E200" s="808"/>
      <c r="F200" s="809"/>
      <c r="H200" s="14">
        <f t="shared" si="11"/>
        <v>0</v>
      </c>
    </row>
    <row r="201" spans="1:8" s="14" customFormat="1">
      <c r="A201" s="102" t="s">
        <v>218</v>
      </c>
      <c r="B201" s="82" t="s">
        <v>174</v>
      </c>
      <c r="C201" s="24">
        <f t="shared" si="15"/>
        <v>0</v>
      </c>
      <c r="D201" s="20"/>
      <c r="E201" s="13"/>
      <c r="F201" s="16"/>
      <c r="H201" s="14">
        <f t="shared" si="11"/>
        <v>0</v>
      </c>
    </row>
    <row r="202" spans="1:8" s="14" customFormat="1">
      <c r="A202" s="102" t="s">
        <v>219</v>
      </c>
      <c r="B202" s="82" t="s">
        <v>175</v>
      </c>
      <c r="C202" s="24">
        <f t="shared" si="15"/>
        <v>0</v>
      </c>
      <c r="D202" s="20"/>
      <c r="E202" s="13"/>
      <c r="F202" s="16"/>
      <c r="H202" s="14">
        <f t="shared" si="11"/>
        <v>0</v>
      </c>
    </row>
    <row r="203" spans="1:8" s="14" customFormat="1">
      <c r="A203" s="102" t="s">
        <v>935</v>
      </c>
      <c r="B203" s="82" t="s">
        <v>937</v>
      </c>
      <c r="C203" s="24">
        <f>+D203+E203+F203</f>
        <v>0</v>
      </c>
      <c r="D203" s="20"/>
      <c r="E203" s="13"/>
      <c r="F203" s="16"/>
      <c r="H203" s="14">
        <f t="shared" ref="H203:H242" si="16">+C203-D203-E203-F203</f>
        <v>0</v>
      </c>
    </row>
    <row r="204" spans="1:8">
      <c r="A204" s="101" t="s">
        <v>79</v>
      </c>
      <c r="B204" s="83" t="s">
        <v>176</v>
      </c>
      <c r="C204" s="23">
        <f t="shared" si="15"/>
        <v>0</v>
      </c>
      <c r="D204" s="21"/>
      <c r="E204" s="12"/>
      <c r="F204" s="17"/>
      <c r="H204" s="4">
        <f t="shared" si="16"/>
        <v>0</v>
      </c>
    </row>
    <row r="205" spans="1:8">
      <c r="A205" s="94" t="s">
        <v>220</v>
      </c>
      <c r="B205" s="84" t="s">
        <v>177</v>
      </c>
      <c r="C205" s="26">
        <f t="shared" si="15"/>
        <v>0</v>
      </c>
      <c r="D205" s="27"/>
      <c r="E205" s="28"/>
      <c r="F205" s="29"/>
      <c r="H205" s="4">
        <f t="shared" si="16"/>
        <v>0</v>
      </c>
    </row>
    <row r="206" spans="1:8" ht="12.75" thickBot="1">
      <c r="A206" s="94" t="s">
        <v>939</v>
      </c>
      <c r="B206" s="84" t="s">
        <v>938</v>
      </c>
      <c r="C206" s="26">
        <f>+D206+E206+F206</f>
        <v>0</v>
      </c>
      <c r="D206" s="27"/>
      <c r="E206" s="28"/>
      <c r="F206" s="29"/>
      <c r="H206" s="4">
        <f t="shared" si="16"/>
        <v>0</v>
      </c>
    </row>
    <row r="207" spans="1:8" s="3" customFormat="1" ht="12.75" thickBot="1">
      <c r="A207" s="99" t="s">
        <v>40</v>
      </c>
      <c r="B207" s="85" t="s">
        <v>316</v>
      </c>
      <c r="C207" s="44">
        <f>+C177+C192</f>
        <v>0</v>
      </c>
      <c r="D207" s="33">
        <f>+D177+D192</f>
        <v>0</v>
      </c>
      <c r="E207" s="34">
        <f>+E177+E192</f>
        <v>0</v>
      </c>
      <c r="F207" s="35">
        <f>+F177+F192</f>
        <v>0</v>
      </c>
      <c r="H207" s="3">
        <f t="shared" si="16"/>
        <v>0</v>
      </c>
    </row>
    <row r="208" spans="1:8" s="3" customFormat="1" ht="12.75" thickBot="1">
      <c r="A208" s="103" t="s">
        <v>39</v>
      </c>
      <c r="B208" s="87" t="s">
        <v>334</v>
      </c>
      <c r="C208" s="45">
        <f>+C176+C207</f>
        <v>60130</v>
      </c>
      <c r="D208" s="30">
        <f>+D176+D207</f>
        <v>60130</v>
      </c>
      <c r="E208" s="31">
        <f>+E176+E207</f>
        <v>0</v>
      </c>
      <c r="F208" s="32">
        <f>+F176+F207</f>
        <v>0</v>
      </c>
      <c r="H208" s="3">
        <f t="shared" si="16"/>
        <v>0</v>
      </c>
    </row>
    <row r="211" spans="1:28" s="1" customFormat="1" ht="15.75">
      <c r="A211" s="1211" t="s">
        <v>89</v>
      </c>
      <c r="B211" s="1211"/>
      <c r="C211" s="1211"/>
      <c r="D211" s="1211"/>
      <c r="E211" s="1211"/>
      <c r="F211" s="121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s="46" customFormat="1" ht="12.75" thickBot="1">
      <c r="A212" s="48" t="s">
        <v>281</v>
      </c>
      <c r="F212" s="47" t="s">
        <v>280</v>
      </c>
    </row>
    <row r="213" spans="1:28" s="3" customFormat="1" ht="12.75" thickBot="1">
      <c r="A213" s="99" t="s">
        <v>4</v>
      </c>
      <c r="B213" s="85" t="s">
        <v>317</v>
      </c>
      <c r="C213" s="44">
        <f>+C214+C215</f>
        <v>-59530</v>
      </c>
      <c r="D213" s="33">
        <f>+D214+D215</f>
        <v>-59530</v>
      </c>
      <c r="E213" s="34">
        <f>+E214+E215</f>
        <v>0</v>
      </c>
      <c r="F213" s="35">
        <f>+F214+F215</f>
        <v>0</v>
      </c>
      <c r="H213" s="3">
        <f t="shared" si="16"/>
        <v>0</v>
      </c>
    </row>
    <row r="214" spans="1:28">
      <c r="A214" s="100" t="s">
        <v>81</v>
      </c>
      <c r="B214" s="88" t="s">
        <v>318</v>
      </c>
      <c r="C214" s="36">
        <f>+C10-C109</f>
        <v>-49158</v>
      </c>
      <c r="D214" s="41">
        <f>+D10-D109</f>
        <v>-49158</v>
      </c>
      <c r="E214" s="11">
        <f>+E10-E109</f>
        <v>0</v>
      </c>
      <c r="F214" s="42">
        <f>+F10-F109</f>
        <v>0</v>
      </c>
      <c r="H214" s="4">
        <f t="shared" si="16"/>
        <v>0</v>
      </c>
    </row>
    <row r="215" spans="1:28" ht="12.75" thickBot="1">
      <c r="A215" s="104" t="s">
        <v>82</v>
      </c>
      <c r="B215" s="89" t="s">
        <v>319</v>
      </c>
      <c r="C215" s="25">
        <f>+C50-C149</f>
        <v>-10372</v>
      </c>
      <c r="D215" s="51">
        <f>+D50-D149</f>
        <v>-10372</v>
      </c>
      <c r="E215" s="18">
        <f>+E50-E149</f>
        <v>0</v>
      </c>
      <c r="F215" s="50">
        <f>+F50-F149</f>
        <v>0</v>
      </c>
      <c r="H215" s="4">
        <f t="shared" si="16"/>
        <v>0</v>
      </c>
    </row>
    <row r="218" spans="1:28" s="1" customFormat="1" ht="15.75">
      <c r="A218" s="1211" t="s">
        <v>90</v>
      </c>
      <c r="B218" s="1211"/>
      <c r="C218" s="1211"/>
      <c r="D218" s="1211"/>
      <c r="E218" s="1211"/>
      <c r="F218" s="121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s="46" customFormat="1" ht="12.75" thickBot="1">
      <c r="A219" s="48" t="s">
        <v>282</v>
      </c>
      <c r="F219" s="47" t="s">
        <v>280</v>
      </c>
    </row>
    <row r="220" spans="1:28" s="3" customFormat="1" ht="12.75" thickBot="1">
      <c r="A220" s="99" t="s">
        <v>4</v>
      </c>
      <c r="B220" s="85" t="s">
        <v>320</v>
      </c>
      <c r="C220" s="44">
        <f>+C221+C228</f>
        <v>59530</v>
      </c>
      <c r="D220" s="33">
        <f>+D221+D228</f>
        <v>59530</v>
      </c>
      <c r="E220" s="34">
        <f>+E221+E228</f>
        <v>0</v>
      </c>
      <c r="F220" s="35">
        <f>+F221+F228</f>
        <v>0</v>
      </c>
      <c r="H220" s="3">
        <f t="shared" si="16"/>
        <v>0</v>
      </c>
    </row>
    <row r="221" spans="1:28" s="3" customFormat="1" ht="12.75" thickBot="1">
      <c r="A221" s="99" t="s">
        <v>5</v>
      </c>
      <c r="B221" s="80" t="s">
        <v>321</v>
      </c>
      <c r="C221" s="44">
        <f>+C222-C225</f>
        <v>49158</v>
      </c>
      <c r="D221" s="33">
        <f>+D222-D225</f>
        <v>49158</v>
      </c>
      <c r="E221" s="34">
        <f>+E222-E225</f>
        <v>0</v>
      </c>
      <c r="F221" s="35">
        <f>+F222-F225</f>
        <v>0</v>
      </c>
      <c r="H221" s="3">
        <f t="shared" si="16"/>
        <v>0</v>
      </c>
    </row>
    <row r="222" spans="1:28">
      <c r="A222" s="100" t="s">
        <v>54</v>
      </c>
      <c r="B222" s="81" t="s">
        <v>322</v>
      </c>
      <c r="C222" s="36">
        <f>+C223+C224</f>
        <v>49158</v>
      </c>
      <c r="D222" s="41">
        <f>+D223+D224</f>
        <v>49158</v>
      </c>
      <c r="E222" s="11">
        <f>+E223+E224</f>
        <v>0</v>
      </c>
      <c r="F222" s="42">
        <f>+F223+F224</f>
        <v>0</v>
      </c>
      <c r="H222" s="4">
        <f t="shared" si="16"/>
        <v>0</v>
      </c>
    </row>
    <row r="223" spans="1:28" s="14" customFormat="1">
      <c r="A223" s="102" t="s">
        <v>189</v>
      </c>
      <c r="B223" s="82" t="s">
        <v>284</v>
      </c>
      <c r="C223" s="24">
        <f>+C76+C80</f>
        <v>0</v>
      </c>
      <c r="D223" s="20">
        <f>+D76+D80</f>
        <v>0</v>
      </c>
      <c r="E223" s="13">
        <f>+E76+E80</f>
        <v>0</v>
      </c>
      <c r="F223" s="16">
        <f>+F76+F80</f>
        <v>0</v>
      </c>
      <c r="H223" s="14">
        <f t="shared" si="16"/>
        <v>0</v>
      </c>
    </row>
    <row r="224" spans="1:28" s="14" customFormat="1">
      <c r="A224" s="102" t="s">
        <v>190</v>
      </c>
      <c r="B224" s="82" t="s">
        <v>285</v>
      </c>
      <c r="C224" s="24">
        <f>+C74+C75+C77+C78+C79+C81</f>
        <v>49158</v>
      </c>
      <c r="D224" s="20">
        <f>+D74+D75+D77+D78+D79+D81</f>
        <v>49158</v>
      </c>
      <c r="E224" s="13">
        <f>+E74+E75+E77+E78+E79+E81</f>
        <v>0</v>
      </c>
      <c r="F224" s="16">
        <f>+F74+F75+F77+F78+F79+F81</f>
        <v>0</v>
      </c>
      <c r="H224" s="14">
        <f t="shared" si="16"/>
        <v>0</v>
      </c>
    </row>
    <row r="225" spans="1:28">
      <c r="A225" s="101" t="s">
        <v>55</v>
      </c>
      <c r="B225" s="83" t="s">
        <v>323</v>
      </c>
      <c r="C225" s="23">
        <f>+C227</f>
        <v>0</v>
      </c>
      <c r="D225" s="21">
        <f>+D227</f>
        <v>0</v>
      </c>
      <c r="E225" s="12">
        <f>+E227</f>
        <v>0</v>
      </c>
      <c r="F225" s="17">
        <f>+F227</f>
        <v>0</v>
      </c>
      <c r="H225" s="4">
        <f t="shared" si="16"/>
        <v>0</v>
      </c>
    </row>
    <row r="226" spans="1:28" s="14" customFormat="1">
      <c r="A226" s="102" t="s">
        <v>56</v>
      </c>
      <c r="B226" s="82" t="s">
        <v>286</v>
      </c>
      <c r="C226" s="24">
        <f>+C185</f>
        <v>0</v>
      </c>
      <c r="D226" s="20">
        <f>+D185</f>
        <v>0</v>
      </c>
      <c r="E226" s="13">
        <f>+E185</f>
        <v>0</v>
      </c>
      <c r="F226" s="16">
        <f>+F185</f>
        <v>0</v>
      </c>
      <c r="H226" s="14">
        <f t="shared" si="16"/>
        <v>0</v>
      </c>
    </row>
    <row r="227" spans="1:28" s="14" customFormat="1" ht="12.75" thickBot="1">
      <c r="A227" s="105" t="s">
        <v>57</v>
      </c>
      <c r="B227" s="90" t="s">
        <v>287</v>
      </c>
      <c r="C227" s="58">
        <f>+C180+C181+C182+C183+C184+C186+C187</f>
        <v>0</v>
      </c>
      <c r="D227" s="56">
        <f>+D180+D181+D182+D183+D184+D186+D187</f>
        <v>0</v>
      </c>
      <c r="E227" s="54">
        <f>+E180+E181+E182+E183+E184+E186+E187</f>
        <v>0</v>
      </c>
      <c r="F227" s="55">
        <f>+F180+F181+F182+F183+F184+F186+F187</f>
        <v>0</v>
      </c>
      <c r="H227" s="14">
        <f t="shared" si="16"/>
        <v>0</v>
      </c>
    </row>
    <row r="228" spans="1:28" s="3" customFormat="1" ht="12.75" thickBot="1">
      <c r="A228" s="99" t="s">
        <v>6</v>
      </c>
      <c r="B228" s="80" t="s">
        <v>324</v>
      </c>
      <c r="C228" s="44">
        <f>+C229-C232</f>
        <v>10372</v>
      </c>
      <c r="D228" s="33">
        <f>+D229-D232</f>
        <v>10372</v>
      </c>
      <c r="E228" s="34">
        <f>+E229-E232</f>
        <v>0</v>
      </c>
      <c r="F228" s="35">
        <f>+F229-F232</f>
        <v>0</v>
      </c>
      <c r="H228" s="3">
        <f t="shared" si="16"/>
        <v>0</v>
      </c>
    </row>
    <row r="229" spans="1:28">
      <c r="A229" s="100" t="s">
        <v>58</v>
      </c>
      <c r="B229" s="81" t="s">
        <v>325</v>
      </c>
      <c r="C229" s="36">
        <f>+C230+C231</f>
        <v>10372</v>
      </c>
      <c r="D229" s="41">
        <f>+D230+D231</f>
        <v>10372</v>
      </c>
      <c r="E229" s="11">
        <f>+E230+E231</f>
        <v>0</v>
      </c>
      <c r="F229" s="42">
        <f>+F230+F231</f>
        <v>0</v>
      </c>
      <c r="H229" s="4">
        <f t="shared" si="16"/>
        <v>0</v>
      </c>
    </row>
    <row r="230" spans="1:28" s="14" customFormat="1">
      <c r="A230" s="102" t="s">
        <v>292</v>
      </c>
      <c r="B230" s="82" t="s">
        <v>290</v>
      </c>
      <c r="C230" s="24">
        <f>+C91+C95</f>
        <v>0</v>
      </c>
      <c r="D230" s="20">
        <f>+D91+D95</f>
        <v>0</v>
      </c>
      <c r="E230" s="13">
        <f>+E91+E95</f>
        <v>0</v>
      </c>
      <c r="F230" s="16">
        <f>+F91+F95</f>
        <v>0</v>
      </c>
      <c r="H230" s="14">
        <f t="shared" si="16"/>
        <v>0</v>
      </c>
    </row>
    <row r="231" spans="1:28" s="14" customFormat="1">
      <c r="A231" s="102" t="s">
        <v>293</v>
      </c>
      <c r="B231" s="82" t="s">
        <v>291</v>
      </c>
      <c r="C231" s="24">
        <f>+C89+C90+C92+C93+C94+C96</f>
        <v>10372</v>
      </c>
      <c r="D231" s="20">
        <f>+D89+D90+D92+D93+D94+D96</f>
        <v>10372</v>
      </c>
      <c r="E231" s="13">
        <f>+E89+E90+E92+E93+E94+E96</f>
        <v>0</v>
      </c>
      <c r="F231" s="16">
        <f>+F89+F90+F92+F93+F94+F96</f>
        <v>0</v>
      </c>
      <c r="H231" s="14">
        <f t="shared" si="16"/>
        <v>0</v>
      </c>
    </row>
    <row r="232" spans="1:28">
      <c r="A232" s="101" t="s">
        <v>59</v>
      </c>
      <c r="B232" s="83" t="s">
        <v>326</v>
      </c>
      <c r="C232" s="23">
        <f>+C233+C234</f>
        <v>0</v>
      </c>
      <c r="D232" s="21">
        <f>+D233+D234</f>
        <v>0</v>
      </c>
      <c r="E232" s="12">
        <f>+E233+E234</f>
        <v>0</v>
      </c>
      <c r="F232" s="17">
        <f>+F233+F234</f>
        <v>0</v>
      </c>
      <c r="H232" s="4">
        <f t="shared" si="16"/>
        <v>0</v>
      </c>
    </row>
    <row r="233" spans="1:28" s="14" customFormat="1">
      <c r="A233" s="102" t="s">
        <v>294</v>
      </c>
      <c r="B233" s="82" t="s">
        <v>288</v>
      </c>
      <c r="C233" s="24">
        <f>+C200</f>
        <v>0</v>
      </c>
      <c r="D233" s="20">
        <f>+D200</f>
        <v>0</v>
      </c>
      <c r="E233" s="13">
        <f>+E200</f>
        <v>0</v>
      </c>
      <c r="F233" s="16">
        <f>+F200</f>
        <v>0</v>
      </c>
      <c r="H233" s="14">
        <f t="shared" si="16"/>
        <v>0</v>
      </c>
    </row>
    <row r="234" spans="1:28" s="14" customFormat="1" ht="12.75" thickBot="1">
      <c r="A234" s="106" t="s">
        <v>295</v>
      </c>
      <c r="B234" s="91" t="s">
        <v>289</v>
      </c>
      <c r="C234" s="59">
        <f>+C195+C196+C197+C198+C199+C201+C202</f>
        <v>0</v>
      </c>
      <c r="D234" s="57">
        <f>+D195+D196+D197+D198+D199+D201+D202</f>
        <v>0</v>
      </c>
      <c r="E234" s="52">
        <f>+E195+E196+E197+E198+E199+E201+E202</f>
        <v>0</v>
      </c>
      <c r="F234" s="53">
        <f>+F195+F196+F197+F198+F199+F201+F202</f>
        <v>0</v>
      </c>
      <c r="H234" s="14">
        <f t="shared" si="16"/>
        <v>0</v>
      </c>
    </row>
    <row r="237" spans="1:28" s="1" customFormat="1" ht="15.75">
      <c r="A237" s="1211" t="s">
        <v>1460</v>
      </c>
      <c r="B237" s="1211"/>
      <c r="C237" s="1211"/>
      <c r="D237" s="1211"/>
      <c r="E237" s="1211"/>
      <c r="F237" s="121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spans="1:28" s="46" customFormat="1" ht="12.75" thickBot="1">
      <c r="A238" s="48" t="s">
        <v>283</v>
      </c>
      <c r="F238" s="47"/>
    </row>
    <row r="239" spans="1:28" s="3" customFormat="1">
      <c r="A239" s="107" t="s">
        <v>4</v>
      </c>
      <c r="B239" s="92" t="s">
        <v>91</v>
      </c>
      <c r="C239" s="67">
        <f>+D239+E239+F239</f>
        <v>9</v>
      </c>
      <c r="D239" s="68">
        <v>9</v>
      </c>
      <c r="E239" s="69"/>
      <c r="F239" s="70"/>
      <c r="H239" s="3">
        <f t="shared" si="16"/>
        <v>0</v>
      </c>
    </row>
    <row r="240" spans="1:28" s="14" customFormat="1">
      <c r="A240" s="105" t="s">
        <v>350</v>
      </c>
      <c r="B240" s="116" t="s">
        <v>351</v>
      </c>
      <c r="C240" s="117">
        <f>+D240+E240+F240</f>
        <v>0</v>
      </c>
      <c r="D240" s="118"/>
      <c r="E240" s="119"/>
      <c r="F240" s="120"/>
      <c r="H240" s="14">
        <f t="shared" si="16"/>
        <v>0</v>
      </c>
    </row>
    <row r="241" spans="1:8" s="3" customFormat="1" ht="12.75" thickBot="1">
      <c r="A241" s="108" t="s">
        <v>5</v>
      </c>
      <c r="B241" s="93" t="s">
        <v>92</v>
      </c>
      <c r="C241" s="71">
        <f>+D241+E241+F241</f>
        <v>0</v>
      </c>
      <c r="D241" s="72"/>
      <c r="E241" s="73"/>
      <c r="F241" s="74"/>
      <c r="H241" s="3">
        <f t="shared" si="16"/>
        <v>0</v>
      </c>
    </row>
    <row r="242" spans="1:8" s="3" customFormat="1" ht="12.75" thickBot="1">
      <c r="A242" s="99" t="s">
        <v>6</v>
      </c>
      <c r="B242" s="85" t="s">
        <v>329</v>
      </c>
      <c r="C242" s="75">
        <f>+C239+C241</f>
        <v>9</v>
      </c>
      <c r="D242" s="76">
        <f>+D239+D241</f>
        <v>9</v>
      </c>
      <c r="E242" s="77">
        <f>+E239+E241</f>
        <v>0</v>
      </c>
      <c r="F242" s="78">
        <f>+F239+F241</f>
        <v>0</v>
      </c>
      <c r="H242" s="3">
        <f t="shared" si="16"/>
        <v>0</v>
      </c>
    </row>
  </sheetData>
  <mergeCells count="9">
    <mergeCell ref="A211:F211"/>
    <mergeCell ref="A218:F218"/>
    <mergeCell ref="A237:F237"/>
    <mergeCell ref="A3:F3"/>
    <mergeCell ref="A4:F4"/>
    <mergeCell ref="A6:F6"/>
    <mergeCell ref="C9:F9"/>
    <mergeCell ref="A105:F105"/>
    <mergeCell ref="C108:F108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44" fitToHeight="2" orientation="portrait" r:id="rId1"/>
  <headerFooter>
    <oddHeader>&amp;C 1.4. melléklet - &amp;P. oldal</oddHeader>
  </headerFooter>
  <rowBreaks count="1" manualBreakCount="1">
    <brk id="104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 codeName="Munka10">
    <tabColor rgb="FF00B0F0"/>
  </sheetPr>
  <dimension ref="A1:AD242"/>
  <sheetViews>
    <sheetView zoomScaleNormal="100" workbookViewId="0"/>
  </sheetViews>
  <sheetFormatPr defaultColWidth="9.140625" defaultRowHeight="12"/>
  <cols>
    <col min="1" max="1" width="6.5703125" style="4" customWidth="1"/>
    <col min="2" max="2" width="109.5703125" style="4" bestFit="1" customWidth="1"/>
    <col min="3" max="6" width="9.28515625" style="4" customWidth="1"/>
    <col min="7" max="7" width="9.140625" style="4"/>
    <col min="8" max="8" width="9.140625" style="4" hidden="1" customWidth="1"/>
    <col min="9" max="16384" width="9.140625" style="4"/>
  </cols>
  <sheetData>
    <row r="1" spans="1:8" s="63" customFormat="1" ht="15.75">
      <c r="F1" s="64" t="s">
        <v>867</v>
      </c>
    </row>
    <row r="2" spans="1:8" s="63" customFormat="1" ht="15.75"/>
    <row r="3" spans="1:8" s="65" customFormat="1" ht="15.75">
      <c r="A3" s="1210" t="s">
        <v>859</v>
      </c>
      <c r="B3" s="1210"/>
      <c r="C3" s="1210"/>
      <c r="D3" s="1210"/>
      <c r="E3" s="1210"/>
      <c r="F3" s="1210"/>
    </row>
    <row r="4" spans="1:8" s="65" customFormat="1" ht="15.75">
      <c r="A4" s="1210" t="s">
        <v>1444</v>
      </c>
      <c r="B4" s="1210"/>
      <c r="C4" s="1210"/>
      <c r="D4" s="1210"/>
      <c r="E4" s="1210"/>
      <c r="F4" s="1210"/>
    </row>
    <row r="5" spans="1:8" s="63" customFormat="1" ht="15.75"/>
    <row r="6" spans="1:8" s="65" customFormat="1" ht="15.75">
      <c r="A6" s="1210" t="s">
        <v>48</v>
      </c>
      <c r="B6" s="1210"/>
      <c r="C6" s="1210"/>
      <c r="D6" s="1210"/>
      <c r="E6" s="1210"/>
      <c r="F6" s="1210"/>
    </row>
    <row r="7" spans="1:8" s="46" customFormat="1" ht="12.75" thickBot="1">
      <c r="A7" s="48" t="s">
        <v>279</v>
      </c>
      <c r="F7" s="47" t="s">
        <v>280</v>
      </c>
    </row>
    <row r="8" spans="1:8" s="9" customFormat="1" ht="54" customHeight="1" thickBot="1">
      <c r="A8" s="95" t="s">
        <v>17</v>
      </c>
      <c r="B8" s="109" t="s">
        <v>327</v>
      </c>
      <c r="C8" s="5" t="s">
        <v>1442</v>
      </c>
      <c r="D8" s="6" t="s">
        <v>51</v>
      </c>
      <c r="E8" s="7" t="s">
        <v>52</v>
      </c>
      <c r="F8" s="8" t="s">
        <v>53</v>
      </c>
    </row>
    <row r="9" spans="1:8" s="3" customFormat="1" ht="12.75" thickBot="1">
      <c r="A9" s="99" t="s">
        <v>252</v>
      </c>
      <c r="B9" s="110" t="s">
        <v>253</v>
      </c>
      <c r="C9" s="1212" t="s">
        <v>254</v>
      </c>
      <c r="D9" s="1213"/>
      <c r="E9" s="1213"/>
      <c r="F9" s="1214"/>
    </row>
    <row r="10" spans="1:8" s="3" customFormat="1" ht="12.75" thickBot="1">
      <c r="A10" s="111" t="s">
        <v>4</v>
      </c>
      <c r="B10" s="79" t="s">
        <v>296</v>
      </c>
      <c r="C10" s="43">
        <f>+C11+C25+C32+C44</f>
        <v>20793</v>
      </c>
      <c r="D10" s="38">
        <f>+D11+D25+D32+D44</f>
        <v>0</v>
      </c>
      <c r="E10" s="39">
        <f>+E11+E25+E32+E44</f>
        <v>20793</v>
      </c>
      <c r="F10" s="40">
        <f>+F11+F25+F32+F44</f>
        <v>0</v>
      </c>
      <c r="H10" s="3">
        <f>+C10-D10-E10-F10</f>
        <v>0</v>
      </c>
    </row>
    <row r="11" spans="1:8" s="3" customFormat="1" ht="12.75" customHeight="1" thickBot="1">
      <c r="A11" s="99" t="s">
        <v>5</v>
      </c>
      <c r="B11" s="80" t="s">
        <v>297</v>
      </c>
      <c r="C11" s="44">
        <f>+C12+C19+C20+C21+C22+C23</f>
        <v>3240</v>
      </c>
      <c r="D11" s="33">
        <f>+D12+D19+D20+D21+D22+D23</f>
        <v>0</v>
      </c>
      <c r="E11" s="34">
        <f>+E12+E19+E20+E21+E22+E23</f>
        <v>3240</v>
      </c>
      <c r="F11" s="35">
        <f>+F12+F19+F20+F21+F22+F23</f>
        <v>0</v>
      </c>
      <c r="H11" s="3">
        <f t="shared" ref="H11:H74" si="0">+C11-D11-E11-F11</f>
        <v>0</v>
      </c>
    </row>
    <row r="12" spans="1:8" s="3" customFormat="1">
      <c r="A12" s="100" t="s">
        <v>54</v>
      </c>
      <c r="B12" s="81" t="s">
        <v>298</v>
      </c>
      <c r="C12" s="36">
        <f>+C13+C14+C15+C16+C17+C18</f>
        <v>0</v>
      </c>
      <c r="D12" s="19">
        <f>+D13+D14+D15+D16+D17+D18</f>
        <v>0</v>
      </c>
      <c r="E12" s="10">
        <f>+E13+E14+E15+E16+E17+E18</f>
        <v>0</v>
      </c>
      <c r="F12" s="15">
        <f>+F13+F14+F15+F16+F17+F18</f>
        <v>0</v>
      </c>
      <c r="H12" s="4">
        <f t="shared" si="0"/>
        <v>0</v>
      </c>
    </row>
    <row r="13" spans="1:8" s="14" customFormat="1">
      <c r="A13" s="102" t="s">
        <v>189</v>
      </c>
      <c r="B13" s="82" t="s">
        <v>93</v>
      </c>
      <c r="C13" s="24">
        <f>+D13+E13+F13</f>
        <v>0</v>
      </c>
      <c r="D13" s="20"/>
      <c r="E13" s="13"/>
      <c r="F13" s="16"/>
      <c r="H13" s="14">
        <f t="shared" si="0"/>
        <v>0</v>
      </c>
    </row>
    <row r="14" spans="1:8" s="14" customFormat="1">
      <c r="A14" s="102" t="s">
        <v>190</v>
      </c>
      <c r="B14" s="82" t="s">
        <v>94</v>
      </c>
      <c r="C14" s="24">
        <f t="shared" ref="C14:C24" si="1">+D14+E14+F14</f>
        <v>0</v>
      </c>
      <c r="D14" s="20"/>
      <c r="E14" s="13"/>
      <c r="F14" s="16"/>
      <c r="H14" s="14">
        <f t="shared" si="0"/>
        <v>0</v>
      </c>
    </row>
    <row r="15" spans="1:8" s="14" customFormat="1">
      <c r="A15" s="102" t="s">
        <v>191</v>
      </c>
      <c r="B15" s="82" t="s">
        <v>95</v>
      </c>
      <c r="C15" s="24">
        <f t="shared" si="1"/>
        <v>0</v>
      </c>
      <c r="D15" s="20"/>
      <c r="E15" s="13"/>
      <c r="F15" s="16"/>
      <c r="H15" s="14">
        <f t="shared" si="0"/>
        <v>0</v>
      </c>
    </row>
    <row r="16" spans="1:8" s="14" customFormat="1">
      <c r="A16" s="102" t="s">
        <v>192</v>
      </c>
      <c r="B16" s="82" t="s">
        <v>96</v>
      </c>
      <c r="C16" s="24">
        <f t="shared" si="1"/>
        <v>0</v>
      </c>
      <c r="D16" s="20"/>
      <c r="E16" s="13"/>
      <c r="F16" s="16"/>
      <c r="H16" s="14">
        <f t="shared" si="0"/>
        <v>0</v>
      </c>
    </row>
    <row r="17" spans="1:8" s="14" customFormat="1">
      <c r="A17" s="102" t="s">
        <v>193</v>
      </c>
      <c r="B17" s="82" t="s">
        <v>895</v>
      </c>
      <c r="C17" s="24">
        <f t="shared" si="1"/>
        <v>0</v>
      </c>
      <c r="D17" s="20"/>
      <c r="E17" s="13"/>
      <c r="F17" s="16"/>
      <c r="H17" s="14">
        <f t="shared" si="0"/>
        <v>0</v>
      </c>
    </row>
    <row r="18" spans="1:8" s="14" customFormat="1">
      <c r="A18" s="102" t="s">
        <v>194</v>
      </c>
      <c r="B18" s="82" t="s">
        <v>896</v>
      </c>
      <c r="C18" s="24">
        <f t="shared" si="1"/>
        <v>0</v>
      </c>
      <c r="D18" s="20"/>
      <c r="E18" s="13"/>
      <c r="F18" s="16"/>
      <c r="H18" s="14">
        <f t="shared" si="0"/>
        <v>0</v>
      </c>
    </row>
    <row r="19" spans="1:8">
      <c r="A19" s="101" t="s">
        <v>55</v>
      </c>
      <c r="B19" s="83" t="s">
        <v>97</v>
      </c>
      <c r="C19" s="23">
        <f t="shared" si="1"/>
        <v>0</v>
      </c>
      <c r="D19" s="21"/>
      <c r="E19" s="12"/>
      <c r="F19" s="17"/>
      <c r="H19" s="4">
        <f t="shared" si="0"/>
        <v>0</v>
      </c>
    </row>
    <row r="20" spans="1:8">
      <c r="A20" s="101" t="s">
        <v>83</v>
      </c>
      <c r="B20" s="83" t="s">
        <v>98</v>
      </c>
      <c r="C20" s="23">
        <f t="shared" si="1"/>
        <v>0</v>
      </c>
      <c r="D20" s="21"/>
      <c r="E20" s="12"/>
      <c r="F20" s="17"/>
      <c r="H20" s="4">
        <f t="shared" si="0"/>
        <v>0</v>
      </c>
    </row>
    <row r="21" spans="1:8">
      <c r="A21" s="101" t="s">
        <v>84</v>
      </c>
      <c r="B21" s="83" t="s">
        <v>99</v>
      </c>
      <c r="C21" s="23">
        <f t="shared" si="1"/>
        <v>0</v>
      </c>
      <c r="D21" s="21"/>
      <c r="E21" s="12"/>
      <c r="F21" s="17"/>
      <c r="H21" s="4">
        <f t="shared" si="0"/>
        <v>0</v>
      </c>
    </row>
    <row r="22" spans="1:8">
      <c r="A22" s="101" t="s">
        <v>85</v>
      </c>
      <c r="B22" s="83" t="s">
        <v>100</v>
      </c>
      <c r="C22" s="23">
        <f t="shared" si="1"/>
        <v>0</v>
      </c>
      <c r="D22" s="21"/>
      <c r="E22" s="12"/>
      <c r="F22" s="17"/>
      <c r="H22" s="4">
        <f t="shared" si="0"/>
        <v>0</v>
      </c>
    </row>
    <row r="23" spans="1:8">
      <c r="A23" s="94" t="s">
        <v>86</v>
      </c>
      <c r="B23" s="84" t="s">
        <v>101</v>
      </c>
      <c r="C23" s="26">
        <f t="shared" si="1"/>
        <v>3240</v>
      </c>
      <c r="D23" s="27"/>
      <c r="E23" s="28">
        <v>3240</v>
      </c>
      <c r="F23" s="29"/>
      <c r="H23" s="4">
        <f t="shared" si="0"/>
        <v>0</v>
      </c>
    </row>
    <row r="24" spans="1:8" s="14" customFormat="1" ht="12.75" thickBot="1">
      <c r="A24" s="105" t="s">
        <v>331</v>
      </c>
      <c r="B24" s="894" t="s">
        <v>332</v>
      </c>
      <c r="C24" s="58">
        <f t="shared" si="1"/>
        <v>0</v>
      </c>
      <c r="D24" s="56"/>
      <c r="E24" s="54"/>
      <c r="F24" s="55"/>
      <c r="H24" s="14">
        <f t="shared" si="0"/>
        <v>0</v>
      </c>
    </row>
    <row r="25" spans="1:8" s="3" customFormat="1" ht="12.75" customHeight="1" thickBot="1">
      <c r="A25" s="99" t="s">
        <v>6</v>
      </c>
      <c r="B25" s="80" t="s">
        <v>778</v>
      </c>
      <c r="C25" s="44">
        <f>+C26+C27+C28+C29+C30+C31</f>
        <v>17553</v>
      </c>
      <c r="D25" s="33">
        <f>+D26+D27+D28+D29+D30+D31</f>
        <v>0</v>
      </c>
      <c r="E25" s="34">
        <f>+E26+E27+E28+E29+E30+E31</f>
        <v>17553</v>
      </c>
      <c r="F25" s="35">
        <f>+F26+F27+F28+F29+F30+F31</f>
        <v>0</v>
      </c>
      <c r="H25" s="3">
        <f t="shared" si="0"/>
        <v>0</v>
      </c>
    </row>
    <row r="26" spans="1:8" ht="12.75" customHeight="1">
      <c r="A26" s="100" t="s">
        <v>58</v>
      </c>
      <c r="B26" s="81" t="s">
        <v>102</v>
      </c>
      <c r="C26" s="36">
        <f t="shared" ref="C26:C31" si="2">+D26+E26+F26</f>
        <v>0</v>
      </c>
      <c r="D26" s="41"/>
      <c r="E26" s="11"/>
      <c r="F26" s="42"/>
      <c r="H26" s="4">
        <f t="shared" si="0"/>
        <v>0</v>
      </c>
    </row>
    <row r="27" spans="1:8" ht="12.75" customHeight="1">
      <c r="A27" s="101" t="s">
        <v>59</v>
      </c>
      <c r="B27" s="83" t="s">
        <v>103</v>
      </c>
      <c r="C27" s="23">
        <f t="shared" si="2"/>
        <v>0</v>
      </c>
      <c r="D27" s="21"/>
      <c r="E27" s="12"/>
      <c r="F27" s="17"/>
      <c r="H27" s="4">
        <f t="shared" si="0"/>
        <v>0</v>
      </c>
    </row>
    <row r="28" spans="1:8" ht="12.75" customHeight="1">
      <c r="A28" s="101" t="s">
        <v>60</v>
      </c>
      <c r="B28" s="83" t="s">
        <v>104</v>
      </c>
      <c r="C28" s="23">
        <f t="shared" si="2"/>
        <v>0</v>
      </c>
      <c r="D28" s="21"/>
      <c r="E28" s="12"/>
      <c r="F28" s="17"/>
      <c r="H28" s="4">
        <f t="shared" si="0"/>
        <v>0</v>
      </c>
    </row>
    <row r="29" spans="1:8" ht="12.75" customHeight="1">
      <c r="A29" s="101" t="s">
        <v>179</v>
      </c>
      <c r="B29" s="83" t="s">
        <v>105</v>
      </c>
      <c r="C29" s="23">
        <f t="shared" si="2"/>
        <v>0</v>
      </c>
      <c r="D29" s="21"/>
      <c r="E29" s="12"/>
      <c r="F29" s="17"/>
      <c r="H29" s="4">
        <f t="shared" si="0"/>
        <v>0</v>
      </c>
    </row>
    <row r="30" spans="1:8" ht="12.75" customHeight="1">
      <c r="A30" s="94" t="s">
        <v>180</v>
      </c>
      <c r="B30" s="84" t="s">
        <v>106</v>
      </c>
      <c r="C30" s="26">
        <f t="shared" si="2"/>
        <v>0</v>
      </c>
      <c r="D30" s="21"/>
      <c r="E30" s="12"/>
      <c r="F30" s="17"/>
      <c r="H30" s="4">
        <f t="shared" si="0"/>
        <v>0</v>
      </c>
    </row>
    <row r="31" spans="1:8" ht="12.75" customHeight="1" thickBot="1">
      <c r="A31" s="94" t="s">
        <v>777</v>
      </c>
      <c r="B31" s="84" t="s">
        <v>779</v>
      </c>
      <c r="C31" s="26">
        <f t="shared" si="2"/>
        <v>17553</v>
      </c>
      <c r="D31" s="21"/>
      <c r="E31" s="12">
        <v>17553</v>
      </c>
      <c r="F31" s="17"/>
      <c r="H31" s="4">
        <f t="shared" si="0"/>
        <v>0</v>
      </c>
    </row>
    <row r="32" spans="1:8" s="3" customFormat="1" ht="12.75" customHeight="1" thickBot="1">
      <c r="A32" s="99" t="s">
        <v>3</v>
      </c>
      <c r="B32" s="80" t="s">
        <v>968</v>
      </c>
      <c r="C32" s="44">
        <f>+C33+C34+C35+C36+C37+C38+C39+C40+C41+C42+C43</f>
        <v>0</v>
      </c>
      <c r="D32" s="33">
        <f>+D33+D34+D35+D36+D37+D38+D39+D40+D41+D42+D43</f>
        <v>0</v>
      </c>
      <c r="E32" s="34">
        <f>+E33+E34+E35+E36+E37+E38+E39+E40+E41+E42+E43</f>
        <v>0</v>
      </c>
      <c r="F32" s="35">
        <f>+F33+F34+F35+F36+F37+F38+F39+F40+F41+F42+F43</f>
        <v>0</v>
      </c>
      <c r="H32" s="3">
        <f t="shared" si="0"/>
        <v>0</v>
      </c>
    </row>
    <row r="33" spans="1:8" ht="12.75" customHeight="1">
      <c r="A33" s="100" t="s">
        <v>61</v>
      </c>
      <c r="B33" s="81" t="s">
        <v>1585</v>
      </c>
      <c r="C33" s="36">
        <f t="shared" ref="C33:C43" si="3">+D33+E33+F33</f>
        <v>0</v>
      </c>
      <c r="D33" s="41"/>
      <c r="E33" s="11"/>
      <c r="F33" s="42"/>
      <c r="H33" s="4">
        <f t="shared" si="0"/>
        <v>0</v>
      </c>
    </row>
    <row r="34" spans="1:8" ht="12.75" customHeight="1">
      <c r="A34" s="101" t="s">
        <v>62</v>
      </c>
      <c r="B34" s="83" t="s">
        <v>107</v>
      </c>
      <c r="C34" s="23">
        <f t="shared" si="3"/>
        <v>0</v>
      </c>
      <c r="D34" s="21"/>
      <c r="E34" s="12"/>
      <c r="F34" s="17"/>
      <c r="H34" s="4">
        <f t="shared" si="0"/>
        <v>0</v>
      </c>
    </row>
    <row r="35" spans="1:8" ht="12.75" customHeight="1">
      <c r="A35" s="101" t="s">
        <v>63</v>
      </c>
      <c r="B35" s="83" t="s">
        <v>108</v>
      </c>
      <c r="C35" s="23">
        <f t="shared" si="3"/>
        <v>0</v>
      </c>
      <c r="D35" s="21"/>
      <c r="E35" s="12"/>
      <c r="F35" s="17"/>
      <c r="H35" s="4">
        <f t="shared" si="0"/>
        <v>0</v>
      </c>
    </row>
    <row r="36" spans="1:8" ht="12.75" customHeight="1">
      <c r="A36" s="101" t="s">
        <v>64</v>
      </c>
      <c r="B36" s="83" t="s">
        <v>109</v>
      </c>
      <c r="C36" s="23">
        <f t="shared" si="3"/>
        <v>0</v>
      </c>
      <c r="D36" s="21"/>
      <c r="E36" s="12"/>
      <c r="F36" s="17"/>
      <c r="H36" s="4">
        <f t="shared" si="0"/>
        <v>0</v>
      </c>
    </row>
    <row r="37" spans="1:8" ht="12.75" customHeight="1">
      <c r="A37" s="101" t="s">
        <v>65</v>
      </c>
      <c r="B37" s="83" t="s">
        <v>110</v>
      </c>
      <c r="C37" s="23">
        <f t="shared" si="3"/>
        <v>0</v>
      </c>
      <c r="D37" s="21"/>
      <c r="E37" s="12"/>
      <c r="F37" s="17"/>
      <c r="H37" s="4">
        <f t="shared" si="0"/>
        <v>0</v>
      </c>
    </row>
    <row r="38" spans="1:8" ht="12.75" customHeight="1">
      <c r="A38" s="101" t="s">
        <v>221</v>
      </c>
      <c r="B38" s="83" t="s">
        <v>111</v>
      </c>
      <c r="C38" s="23">
        <f t="shared" si="3"/>
        <v>0</v>
      </c>
      <c r="D38" s="21"/>
      <c r="E38" s="12"/>
      <c r="F38" s="17"/>
      <c r="H38" s="4">
        <f t="shared" si="0"/>
        <v>0</v>
      </c>
    </row>
    <row r="39" spans="1:8" ht="12.75" customHeight="1">
      <c r="A39" s="101" t="s">
        <v>222</v>
      </c>
      <c r="B39" s="83" t="s">
        <v>112</v>
      </c>
      <c r="C39" s="23">
        <f t="shared" si="3"/>
        <v>0</v>
      </c>
      <c r="D39" s="21"/>
      <c r="E39" s="12"/>
      <c r="F39" s="17"/>
      <c r="H39" s="4">
        <f t="shared" si="0"/>
        <v>0</v>
      </c>
    </row>
    <row r="40" spans="1:8" ht="12.75" customHeight="1">
      <c r="A40" s="101" t="s">
        <v>223</v>
      </c>
      <c r="B40" s="83" t="s">
        <v>978</v>
      </c>
      <c r="C40" s="23">
        <f t="shared" si="3"/>
        <v>0</v>
      </c>
      <c r="D40" s="21"/>
      <c r="E40" s="12"/>
      <c r="F40" s="17"/>
      <c r="H40" s="4">
        <f t="shared" si="0"/>
        <v>0</v>
      </c>
    </row>
    <row r="41" spans="1:8" ht="12.75" customHeight="1">
      <c r="A41" s="101" t="s">
        <v>224</v>
      </c>
      <c r="B41" s="83" t="s">
        <v>113</v>
      </c>
      <c r="C41" s="23">
        <f t="shared" si="3"/>
        <v>0</v>
      </c>
      <c r="D41" s="21"/>
      <c r="E41" s="12"/>
      <c r="F41" s="17"/>
      <c r="H41" s="4">
        <f t="shared" si="0"/>
        <v>0</v>
      </c>
    </row>
    <row r="42" spans="1:8" ht="12.75" customHeight="1">
      <c r="A42" s="94" t="s">
        <v>225</v>
      </c>
      <c r="B42" s="84" t="s">
        <v>898</v>
      </c>
      <c r="C42" s="23">
        <f>+D42+E42+F42</f>
        <v>0</v>
      </c>
      <c r="D42" s="21"/>
      <c r="E42" s="12"/>
      <c r="F42" s="17"/>
      <c r="H42" s="4">
        <f t="shared" si="0"/>
        <v>0</v>
      </c>
    </row>
    <row r="43" spans="1:8" ht="12.75" customHeight="1" thickBot="1">
      <c r="A43" s="94" t="s">
        <v>897</v>
      </c>
      <c r="B43" s="84" t="s">
        <v>899</v>
      </c>
      <c r="C43" s="26">
        <f t="shared" si="3"/>
        <v>0</v>
      </c>
      <c r="D43" s="27"/>
      <c r="E43" s="28"/>
      <c r="F43" s="29"/>
      <c r="H43" s="4">
        <f t="shared" si="0"/>
        <v>0</v>
      </c>
    </row>
    <row r="44" spans="1:8" s="3" customFormat="1" ht="12.75" thickBot="1">
      <c r="A44" s="99" t="s">
        <v>16</v>
      </c>
      <c r="B44" s="80" t="s">
        <v>969</v>
      </c>
      <c r="C44" s="44">
        <f>+C45+C46+C47+C48+C49</f>
        <v>0</v>
      </c>
      <c r="D44" s="33">
        <f>+D45+D46+D47+D48+D49</f>
        <v>0</v>
      </c>
      <c r="E44" s="34">
        <f>+E45+E46+E47+E48+E49</f>
        <v>0</v>
      </c>
      <c r="F44" s="35">
        <f>+F45+F46+F47+F48+F49</f>
        <v>0</v>
      </c>
      <c r="H44" s="3">
        <f t="shared" si="0"/>
        <v>0</v>
      </c>
    </row>
    <row r="45" spans="1:8" ht="12.75" customHeight="1">
      <c r="A45" s="100" t="s">
        <v>226</v>
      </c>
      <c r="B45" s="81" t="s">
        <v>114</v>
      </c>
      <c r="C45" s="36">
        <f>+D45+E45+F45</f>
        <v>0</v>
      </c>
      <c r="D45" s="41"/>
      <c r="E45" s="11"/>
      <c r="F45" s="42"/>
      <c r="H45" s="4">
        <f t="shared" si="0"/>
        <v>0</v>
      </c>
    </row>
    <row r="46" spans="1:8" ht="12.75" customHeight="1">
      <c r="A46" s="100" t="s">
        <v>227</v>
      </c>
      <c r="B46" s="81" t="s">
        <v>900</v>
      </c>
      <c r="C46" s="36">
        <f>+D46+E46+F46</f>
        <v>0</v>
      </c>
      <c r="D46" s="41"/>
      <c r="E46" s="11"/>
      <c r="F46" s="42"/>
      <c r="H46" s="4">
        <f t="shared" si="0"/>
        <v>0</v>
      </c>
    </row>
    <row r="47" spans="1:8" ht="12.75" customHeight="1">
      <c r="A47" s="100" t="s">
        <v>228</v>
      </c>
      <c r="B47" s="81" t="s">
        <v>901</v>
      </c>
      <c r="C47" s="36">
        <f>+D47+E47+F47</f>
        <v>0</v>
      </c>
      <c r="D47" s="41"/>
      <c r="E47" s="11"/>
      <c r="F47" s="42"/>
      <c r="H47" s="4">
        <f t="shared" si="0"/>
        <v>0</v>
      </c>
    </row>
    <row r="48" spans="1:8" ht="12.75" customHeight="1">
      <c r="A48" s="101" t="s">
        <v>256</v>
      </c>
      <c r="B48" s="83" t="s">
        <v>902</v>
      </c>
      <c r="C48" s="23">
        <f>+D48+E48+F48</f>
        <v>0</v>
      </c>
      <c r="D48" s="21"/>
      <c r="E48" s="12"/>
      <c r="F48" s="17"/>
      <c r="H48" s="4">
        <f t="shared" si="0"/>
        <v>0</v>
      </c>
    </row>
    <row r="49" spans="1:8" ht="12.75" customHeight="1" thickBot="1">
      <c r="A49" s="94" t="s">
        <v>257</v>
      </c>
      <c r="B49" s="84" t="s">
        <v>903</v>
      </c>
      <c r="C49" s="26">
        <f>+D49+E49+F49</f>
        <v>0</v>
      </c>
      <c r="D49" s="27"/>
      <c r="E49" s="28"/>
      <c r="F49" s="29"/>
      <c r="H49" s="4">
        <f t="shared" si="0"/>
        <v>0</v>
      </c>
    </row>
    <row r="50" spans="1:8" s="3" customFormat="1" ht="12.75" thickBot="1">
      <c r="A50" s="99" t="s">
        <v>15</v>
      </c>
      <c r="B50" s="85" t="s">
        <v>299</v>
      </c>
      <c r="C50" s="44">
        <f>+C51+C58+C64</f>
        <v>0</v>
      </c>
      <c r="D50" s="33">
        <f>+D51+D58+D64</f>
        <v>0</v>
      </c>
      <c r="E50" s="34">
        <f>+E51+E58+E64</f>
        <v>0</v>
      </c>
      <c r="F50" s="35">
        <f>+F51+F58+F64</f>
        <v>0</v>
      </c>
      <c r="H50" s="3">
        <f t="shared" si="0"/>
        <v>0</v>
      </c>
    </row>
    <row r="51" spans="1:8" s="3" customFormat="1" ht="12.75" customHeight="1" thickBot="1">
      <c r="A51" s="99" t="s">
        <v>14</v>
      </c>
      <c r="B51" s="80" t="s">
        <v>300</v>
      </c>
      <c r="C51" s="44">
        <f>+C52+C53+C54+C55+C56</f>
        <v>0</v>
      </c>
      <c r="D51" s="33">
        <f>+D52+D53+D54+D55+D56</f>
        <v>0</v>
      </c>
      <c r="E51" s="34">
        <f>+E52+E53+E54+E55+E56</f>
        <v>0</v>
      </c>
      <c r="F51" s="35">
        <f>+F52+F53+F54+F55+F56</f>
        <v>0</v>
      </c>
      <c r="H51" s="3">
        <f t="shared" si="0"/>
        <v>0</v>
      </c>
    </row>
    <row r="52" spans="1:8">
      <c r="A52" s="100" t="s">
        <v>184</v>
      </c>
      <c r="B52" s="135" t="s">
        <v>115</v>
      </c>
      <c r="C52" s="36">
        <f t="shared" ref="C52:C57" si="4">+D52+E52+F52</f>
        <v>0</v>
      </c>
      <c r="D52" s="41"/>
      <c r="E52" s="11"/>
      <c r="F52" s="42"/>
      <c r="H52" s="4">
        <f t="shared" si="0"/>
        <v>0</v>
      </c>
    </row>
    <row r="53" spans="1:8">
      <c r="A53" s="101" t="s">
        <v>185</v>
      </c>
      <c r="B53" s="83" t="s">
        <v>116</v>
      </c>
      <c r="C53" s="23">
        <f t="shared" si="4"/>
        <v>0</v>
      </c>
      <c r="D53" s="21"/>
      <c r="E53" s="12"/>
      <c r="F53" s="17"/>
      <c r="H53" s="4">
        <f t="shared" si="0"/>
        <v>0</v>
      </c>
    </row>
    <row r="54" spans="1:8">
      <c r="A54" s="101" t="s">
        <v>186</v>
      </c>
      <c r="B54" s="83" t="s">
        <v>117</v>
      </c>
      <c r="C54" s="23">
        <f t="shared" si="4"/>
        <v>0</v>
      </c>
      <c r="D54" s="21"/>
      <c r="E54" s="12"/>
      <c r="F54" s="17"/>
      <c r="H54" s="4">
        <f t="shared" si="0"/>
        <v>0</v>
      </c>
    </row>
    <row r="55" spans="1:8">
      <c r="A55" s="101" t="s">
        <v>187</v>
      </c>
      <c r="B55" s="83" t="s">
        <v>118</v>
      </c>
      <c r="C55" s="23">
        <f t="shared" si="4"/>
        <v>0</v>
      </c>
      <c r="D55" s="21"/>
      <c r="E55" s="12"/>
      <c r="F55" s="17"/>
      <c r="H55" s="4">
        <f t="shared" si="0"/>
        <v>0</v>
      </c>
    </row>
    <row r="56" spans="1:8">
      <c r="A56" s="94" t="s">
        <v>188</v>
      </c>
      <c r="B56" s="84" t="s">
        <v>119</v>
      </c>
      <c r="C56" s="26">
        <f t="shared" si="4"/>
        <v>0</v>
      </c>
      <c r="D56" s="27"/>
      <c r="E56" s="28"/>
      <c r="F56" s="29"/>
      <c r="H56" s="4">
        <f t="shared" si="0"/>
        <v>0</v>
      </c>
    </row>
    <row r="57" spans="1:8" s="14" customFormat="1" ht="12.75" thickBot="1">
      <c r="A57" s="105" t="s">
        <v>333</v>
      </c>
      <c r="B57" s="894" t="s">
        <v>337</v>
      </c>
      <c r="C57" s="58">
        <f t="shared" si="4"/>
        <v>0</v>
      </c>
      <c r="D57" s="56"/>
      <c r="E57" s="54"/>
      <c r="F57" s="55"/>
      <c r="H57" s="14">
        <f t="shared" si="0"/>
        <v>0</v>
      </c>
    </row>
    <row r="58" spans="1:8" s="3" customFormat="1" ht="12.75" customHeight="1" thickBot="1">
      <c r="A58" s="99" t="s">
        <v>13</v>
      </c>
      <c r="B58" s="80" t="s">
        <v>301</v>
      </c>
      <c r="C58" s="44">
        <f>+C59+C60+C61+C62+C63</f>
        <v>0</v>
      </c>
      <c r="D58" s="33">
        <f>+D59+D60+D61+D62+D63</f>
        <v>0</v>
      </c>
      <c r="E58" s="34">
        <f>+E59+E60+E61+E62+E63</f>
        <v>0</v>
      </c>
      <c r="F58" s="35">
        <f>+F59+F60+F61+F62+F63</f>
        <v>0</v>
      </c>
      <c r="H58" s="3">
        <f t="shared" si="0"/>
        <v>0</v>
      </c>
    </row>
    <row r="59" spans="1:8" ht="12.75" customHeight="1">
      <c r="A59" s="100" t="s">
        <v>66</v>
      </c>
      <c r="B59" s="81" t="s">
        <v>120</v>
      </c>
      <c r="C59" s="36">
        <f>+D59+E59+F59</f>
        <v>0</v>
      </c>
      <c r="D59" s="41"/>
      <c r="E59" s="11"/>
      <c r="F59" s="42"/>
      <c r="H59" s="4">
        <f t="shared" si="0"/>
        <v>0</v>
      </c>
    </row>
    <row r="60" spans="1:8" ht="12.75" customHeight="1">
      <c r="A60" s="101" t="s">
        <v>67</v>
      </c>
      <c r="B60" s="83" t="s">
        <v>121</v>
      </c>
      <c r="C60" s="23">
        <f>+D60+E60+F60</f>
        <v>0</v>
      </c>
      <c r="D60" s="21"/>
      <c r="E60" s="12"/>
      <c r="F60" s="17"/>
      <c r="H60" s="4">
        <f t="shared" si="0"/>
        <v>0</v>
      </c>
    </row>
    <row r="61" spans="1:8" ht="12.75" customHeight="1">
      <c r="A61" s="101" t="s">
        <v>68</v>
      </c>
      <c r="B61" s="83" t="s">
        <v>122</v>
      </c>
      <c r="C61" s="23">
        <f>+D61+E61+F61</f>
        <v>0</v>
      </c>
      <c r="D61" s="21"/>
      <c r="E61" s="12"/>
      <c r="F61" s="17"/>
      <c r="H61" s="4">
        <f t="shared" si="0"/>
        <v>0</v>
      </c>
    </row>
    <row r="62" spans="1:8" ht="12.75" customHeight="1">
      <c r="A62" s="101" t="s">
        <v>229</v>
      </c>
      <c r="B62" s="83" t="s">
        <v>123</v>
      </c>
      <c r="C62" s="23">
        <f>+D62+E62+F62</f>
        <v>0</v>
      </c>
      <c r="D62" s="21"/>
      <c r="E62" s="12"/>
      <c r="F62" s="17"/>
      <c r="H62" s="4">
        <f t="shared" si="0"/>
        <v>0</v>
      </c>
    </row>
    <row r="63" spans="1:8" ht="12.75" customHeight="1" thickBot="1">
      <c r="A63" s="94" t="s">
        <v>230</v>
      </c>
      <c r="B63" s="84" t="s">
        <v>124</v>
      </c>
      <c r="C63" s="26">
        <f>+D63+E63+F63</f>
        <v>0</v>
      </c>
      <c r="D63" s="27"/>
      <c r="E63" s="28"/>
      <c r="F63" s="29"/>
      <c r="H63" s="4">
        <f t="shared" si="0"/>
        <v>0</v>
      </c>
    </row>
    <row r="64" spans="1:8" s="3" customFormat="1" ht="12.75" thickBot="1">
      <c r="A64" s="99" t="s">
        <v>12</v>
      </c>
      <c r="B64" s="80" t="s">
        <v>907</v>
      </c>
      <c r="C64" s="44">
        <f>+C65+C66+C67+C68+C69</f>
        <v>0</v>
      </c>
      <c r="D64" s="33">
        <f>+D65+D66+D67+D68+D69</f>
        <v>0</v>
      </c>
      <c r="E64" s="34">
        <f>+E65+E66+E67+E68+E69</f>
        <v>0</v>
      </c>
      <c r="F64" s="35">
        <f>+F65+F66+F67+F68+F69</f>
        <v>0</v>
      </c>
      <c r="H64" s="3">
        <f t="shared" si="0"/>
        <v>0</v>
      </c>
    </row>
    <row r="65" spans="1:8">
      <c r="A65" s="100" t="s">
        <v>69</v>
      </c>
      <c r="B65" s="81" t="s">
        <v>125</v>
      </c>
      <c r="C65" s="36">
        <f>+D65+E65+F65</f>
        <v>0</v>
      </c>
      <c r="D65" s="41"/>
      <c r="E65" s="11"/>
      <c r="F65" s="42"/>
      <c r="H65" s="4">
        <f t="shared" si="0"/>
        <v>0</v>
      </c>
    </row>
    <row r="66" spans="1:8">
      <c r="A66" s="100" t="s">
        <v>70</v>
      </c>
      <c r="B66" s="81" t="s">
        <v>908</v>
      </c>
      <c r="C66" s="36">
        <f>+D66+E66+F66</f>
        <v>0</v>
      </c>
      <c r="D66" s="41"/>
      <c r="E66" s="11"/>
      <c r="F66" s="42"/>
      <c r="H66" s="4">
        <f t="shared" si="0"/>
        <v>0</v>
      </c>
    </row>
    <row r="67" spans="1:8">
      <c r="A67" s="100" t="s">
        <v>71</v>
      </c>
      <c r="B67" s="81" t="s">
        <v>909</v>
      </c>
      <c r="C67" s="36">
        <f>+D67+E67+F67</f>
        <v>0</v>
      </c>
      <c r="D67" s="41"/>
      <c r="E67" s="11"/>
      <c r="F67" s="42"/>
      <c r="H67" s="4">
        <f t="shared" si="0"/>
        <v>0</v>
      </c>
    </row>
    <row r="68" spans="1:8">
      <c r="A68" s="101" t="s">
        <v>72</v>
      </c>
      <c r="B68" s="83" t="s">
        <v>905</v>
      </c>
      <c r="C68" s="23">
        <f>+D68+E68+F68</f>
        <v>0</v>
      </c>
      <c r="D68" s="21"/>
      <c r="E68" s="12"/>
      <c r="F68" s="17"/>
      <c r="H68" s="4">
        <f t="shared" si="0"/>
        <v>0</v>
      </c>
    </row>
    <row r="69" spans="1:8" ht="12.75" thickBot="1">
      <c r="A69" s="94" t="s">
        <v>904</v>
      </c>
      <c r="B69" s="84" t="s">
        <v>906</v>
      </c>
      <c r="C69" s="26">
        <f>+D69+E69+F69</f>
        <v>0</v>
      </c>
      <c r="D69" s="27"/>
      <c r="E69" s="28"/>
      <c r="F69" s="29"/>
      <c r="H69" s="4">
        <f t="shared" si="0"/>
        <v>0</v>
      </c>
    </row>
    <row r="70" spans="1:8" s="3" customFormat="1" ht="12.75" thickBot="1">
      <c r="A70" s="99" t="s">
        <v>11</v>
      </c>
      <c r="B70" s="85" t="s">
        <v>302</v>
      </c>
      <c r="C70" s="44">
        <f>+C10+C50</f>
        <v>20793</v>
      </c>
      <c r="D70" s="33">
        <f>+D10+D50</f>
        <v>0</v>
      </c>
      <c r="E70" s="34">
        <f>+E10+E50</f>
        <v>20793</v>
      </c>
      <c r="F70" s="35">
        <f>+F10+F50</f>
        <v>0</v>
      </c>
      <c r="H70" s="3">
        <f t="shared" si="0"/>
        <v>0</v>
      </c>
    </row>
    <row r="71" spans="1:8" s="3" customFormat="1" ht="12.75" thickBot="1">
      <c r="A71" s="99" t="s">
        <v>10</v>
      </c>
      <c r="B71" s="86" t="s">
        <v>303</v>
      </c>
      <c r="C71" s="44">
        <f>+C72</f>
        <v>-1000</v>
      </c>
      <c r="D71" s="33">
        <f>+D72</f>
        <v>0</v>
      </c>
      <c r="E71" s="34">
        <f>+E72</f>
        <v>-1000</v>
      </c>
      <c r="F71" s="35">
        <f>+F72</f>
        <v>0</v>
      </c>
      <c r="H71" s="3">
        <f t="shared" si="0"/>
        <v>0</v>
      </c>
    </row>
    <row r="72" spans="1:8" s="3" customFormat="1" ht="12.75" thickBot="1">
      <c r="A72" s="99" t="s">
        <v>9</v>
      </c>
      <c r="B72" s="80" t="s">
        <v>916</v>
      </c>
      <c r="C72" s="44">
        <f>+C73+C83+C84+C85</f>
        <v>-1000</v>
      </c>
      <c r="D72" s="33">
        <f>+D73+D83+D84+D85</f>
        <v>0</v>
      </c>
      <c r="E72" s="34">
        <f>+E73+E83+E84+E85</f>
        <v>-1000</v>
      </c>
      <c r="F72" s="35">
        <f>+F73+F83+F84+F85</f>
        <v>0</v>
      </c>
      <c r="H72" s="3">
        <f t="shared" si="0"/>
        <v>0</v>
      </c>
    </row>
    <row r="73" spans="1:8">
      <c r="A73" s="100" t="s">
        <v>73</v>
      </c>
      <c r="B73" s="81" t="s">
        <v>911</v>
      </c>
      <c r="C73" s="36">
        <f>+C74+C75+C76+C77+C78+C79+C80+C81+C82</f>
        <v>-1000</v>
      </c>
      <c r="D73" s="41">
        <f>+D74+D75+D76+D77+D78+D79+D80+D81+D82</f>
        <v>0</v>
      </c>
      <c r="E73" s="11">
        <f>+E74+E75+E76+E77+E78+E79+E80+E81+E82</f>
        <v>-1000</v>
      </c>
      <c r="F73" s="42">
        <f>+F74+F75+F76+F77+F78+F79+F80+F81+F82</f>
        <v>0</v>
      </c>
      <c r="H73" s="4">
        <f t="shared" si="0"/>
        <v>0</v>
      </c>
    </row>
    <row r="74" spans="1:8" s="14" customFormat="1">
      <c r="A74" s="102" t="s">
        <v>195</v>
      </c>
      <c r="B74" s="82" t="s">
        <v>910</v>
      </c>
      <c r="C74" s="24">
        <f t="shared" ref="C74:C84" si="5">+D74+E74+F74</f>
        <v>0</v>
      </c>
      <c r="D74" s="20"/>
      <c r="E74" s="13"/>
      <c r="F74" s="16"/>
      <c r="H74" s="14">
        <f t="shared" si="0"/>
        <v>0</v>
      </c>
    </row>
    <row r="75" spans="1:8" s="14" customFormat="1">
      <c r="A75" s="102" t="s">
        <v>196</v>
      </c>
      <c r="B75" s="82" t="s">
        <v>246</v>
      </c>
      <c r="C75" s="24">
        <f t="shared" si="5"/>
        <v>0</v>
      </c>
      <c r="D75" s="20"/>
      <c r="E75" s="13"/>
      <c r="F75" s="16"/>
      <c r="H75" s="14">
        <f t="shared" ref="H75:H138" si="6">+C75-D75-E75-F75</f>
        <v>0</v>
      </c>
    </row>
    <row r="76" spans="1:8" s="14" customFormat="1">
      <c r="A76" s="102" t="s">
        <v>197</v>
      </c>
      <c r="B76" s="82" t="s">
        <v>247</v>
      </c>
      <c r="C76" s="24">
        <f t="shared" si="5"/>
        <v>0</v>
      </c>
      <c r="D76" s="20"/>
      <c r="E76" s="13"/>
      <c r="F76" s="16"/>
      <c r="H76" s="14">
        <f t="shared" si="6"/>
        <v>0</v>
      </c>
    </row>
    <row r="77" spans="1:8" s="14" customFormat="1">
      <c r="A77" s="102" t="s">
        <v>198</v>
      </c>
      <c r="B77" s="82" t="s">
        <v>248</v>
      </c>
      <c r="C77" s="24">
        <f t="shared" si="5"/>
        <v>0</v>
      </c>
      <c r="D77" s="20"/>
      <c r="E77" s="13"/>
      <c r="F77" s="16"/>
      <c r="H77" s="14">
        <f t="shared" si="6"/>
        <v>0</v>
      </c>
    </row>
    <row r="78" spans="1:8" s="14" customFormat="1">
      <c r="A78" s="102" t="s">
        <v>199</v>
      </c>
      <c r="B78" s="82" t="s">
        <v>249</v>
      </c>
      <c r="C78" s="24">
        <f t="shared" si="5"/>
        <v>0</v>
      </c>
      <c r="D78" s="20"/>
      <c r="E78" s="13"/>
      <c r="F78" s="16"/>
      <c r="H78" s="14">
        <f t="shared" si="6"/>
        <v>0</v>
      </c>
    </row>
    <row r="79" spans="1:8" s="14" customFormat="1">
      <c r="A79" s="127" t="s">
        <v>200</v>
      </c>
      <c r="B79" s="128" t="s">
        <v>250</v>
      </c>
      <c r="C79" s="24">
        <f t="shared" si="5"/>
        <v>-1000</v>
      </c>
      <c r="D79" s="20">
        <f>+D109-D10+D178-D74-D75-D76-D77-D78-D80-D81-D83-D84-D85</f>
        <v>0</v>
      </c>
      <c r="E79" s="13">
        <f>+E109-E10+E178-E74-E75-E76-E77-E78-E80-E81-E83-E84-E85</f>
        <v>-1000</v>
      </c>
      <c r="F79" s="16">
        <f>+F109-F10+F178-F74-F75-F76-F77-F78-F80-F81-F83-F84-F85</f>
        <v>0</v>
      </c>
      <c r="H79" s="140">
        <f t="shared" si="6"/>
        <v>0</v>
      </c>
    </row>
    <row r="80" spans="1:8" s="14" customFormat="1">
      <c r="A80" s="102" t="s">
        <v>203</v>
      </c>
      <c r="B80" s="82" t="s">
        <v>251</v>
      </c>
      <c r="C80" s="24">
        <f t="shared" si="5"/>
        <v>0</v>
      </c>
      <c r="D80" s="20"/>
      <c r="E80" s="13"/>
      <c r="F80" s="16"/>
      <c r="H80" s="140">
        <f t="shared" si="6"/>
        <v>0</v>
      </c>
    </row>
    <row r="81" spans="1:8" s="14" customFormat="1">
      <c r="A81" s="102" t="s">
        <v>201</v>
      </c>
      <c r="B81" s="82" t="s">
        <v>244</v>
      </c>
      <c r="C81" s="24">
        <f t="shared" si="5"/>
        <v>0</v>
      </c>
      <c r="D81" s="20"/>
      <c r="E81" s="13"/>
      <c r="F81" s="16"/>
      <c r="H81" s="140">
        <f t="shared" si="6"/>
        <v>0</v>
      </c>
    </row>
    <row r="82" spans="1:8" s="14" customFormat="1">
      <c r="A82" s="102" t="s">
        <v>912</v>
      </c>
      <c r="B82" s="82" t="s">
        <v>913</v>
      </c>
      <c r="C82" s="24">
        <f>+D82+E82+F82</f>
        <v>0</v>
      </c>
      <c r="D82" s="20"/>
      <c r="E82" s="13"/>
      <c r="F82" s="16"/>
      <c r="H82" s="140">
        <f t="shared" si="6"/>
        <v>0</v>
      </c>
    </row>
    <row r="83" spans="1:8">
      <c r="A83" s="101" t="s">
        <v>74</v>
      </c>
      <c r="B83" s="83" t="s">
        <v>242</v>
      </c>
      <c r="C83" s="23">
        <f t="shared" si="5"/>
        <v>0</v>
      </c>
      <c r="D83" s="21"/>
      <c r="E83" s="12"/>
      <c r="F83" s="17"/>
      <c r="H83" s="141">
        <f t="shared" si="6"/>
        <v>0</v>
      </c>
    </row>
    <row r="84" spans="1:8">
      <c r="A84" s="94" t="s">
        <v>202</v>
      </c>
      <c r="B84" s="84" t="s">
        <v>243</v>
      </c>
      <c r="C84" s="26">
        <f t="shared" si="5"/>
        <v>0</v>
      </c>
      <c r="D84" s="27"/>
      <c r="E84" s="28"/>
      <c r="F84" s="29"/>
      <c r="H84" s="141">
        <f t="shared" si="6"/>
        <v>0</v>
      </c>
    </row>
    <row r="85" spans="1:8" ht="12.75" thickBot="1">
      <c r="A85" s="94" t="s">
        <v>914</v>
      </c>
      <c r="B85" s="84" t="s">
        <v>915</v>
      </c>
      <c r="C85" s="26">
        <f>+D85+E85+F85</f>
        <v>0</v>
      </c>
      <c r="D85" s="27"/>
      <c r="E85" s="28"/>
      <c r="F85" s="29"/>
      <c r="H85" s="141">
        <f t="shared" si="6"/>
        <v>0</v>
      </c>
    </row>
    <row r="86" spans="1:8" s="3" customFormat="1" ht="12.75" thickBot="1">
      <c r="A86" s="99" t="s">
        <v>45</v>
      </c>
      <c r="B86" s="86" t="s">
        <v>304</v>
      </c>
      <c r="C86" s="44">
        <f>+C87</f>
        <v>1000</v>
      </c>
      <c r="D86" s="33">
        <f>+D87</f>
        <v>0</v>
      </c>
      <c r="E86" s="34">
        <f>+E87</f>
        <v>1000</v>
      </c>
      <c r="F86" s="35">
        <f>+F87</f>
        <v>0</v>
      </c>
      <c r="H86" s="143">
        <f t="shared" si="6"/>
        <v>0</v>
      </c>
    </row>
    <row r="87" spans="1:8" s="3" customFormat="1" ht="12.75" thickBot="1">
      <c r="A87" s="99" t="s">
        <v>44</v>
      </c>
      <c r="B87" s="80" t="s">
        <v>918</v>
      </c>
      <c r="C87" s="44">
        <f>+C88+C98+C99+C100</f>
        <v>1000</v>
      </c>
      <c r="D87" s="33">
        <f>+D88+D98+D99+D100</f>
        <v>0</v>
      </c>
      <c r="E87" s="34">
        <f>+E88+E98+E99+E100</f>
        <v>1000</v>
      </c>
      <c r="F87" s="35">
        <f>+F88+F98+F99+F100</f>
        <v>0</v>
      </c>
      <c r="H87" s="143">
        <f t="shared" si="6"/>
        <v>0</v>
      </c>
    </row>
    <row r="88" spans="1:8">
      <c r="A88" s="100" t="s">
        <v>231</v>
      </c>
      <c r="B88" s="81" t="s">
        <v>970</v>
      </c>
      <c r="C88" s="36">
        <f>+C89+C90+C91+C92+C93+C94+C95+C96+C97</f>
        <v>1000</v>
      </c>
      <c r="D88" s="41">
        <f>+D89+D90+D91+D92+D93+D94+D95+D96+D97</f>
        <v>0</v>
      </c>
      <c r="E88" s="11">
        <f>+E89+E90+E91+E92+E93+E94+E95+E96+E97</f>
        <v>1000</v>
      </c>
      <c r="F88" s="42">
        <f>+F89+F90+F91+F92+F93+F94+F95+F96+F97</f>
        <v>0</v>
      </c>
      <c r="H88" s="141">
        <f t="shared" si="6"/>
        <v>0</v>
      </c>
    </row>
    <row r="89" spans="1:8" s="14" customFormat="1">
      <c r="A89" s="102" t="s">
        <v>232</v>
      </c>
      <c r="B89" s="82" t="s">
        <v>910</v>
      </c>
      <c r="C89" s="24">
        <f t="shared" ref="C89:C99" si="7">+D89+E89+F89</f>
        <v>0</v>
      </c>
      <c r="D89" s="20"/>
      <c r="E89" s="13"/>
      <c r="F89" s="16"/>
      <c r="H89" s="140">
        <f t="shared" si="6"/>
        <v>0</v>
      </c>
    </row>
    <row r="90" spans="1:8" s="14" customFormat="1">
      <c r="A90" s="102" t="s">
        <v>233</v>
      </c>
      <c r="B90" s="82" t="s">
        <v>246</v>
      </c>
      <c r="C90" s="24">
        <f t="shared" si="7"/>
        <v>0</v>
      </c>
      <c r="D90" s="20"/>
      <c r="E90" s="13"/>
      <c r="F90" s="16"/>
      <c r="H90" s="140">
        <f t="shared" si="6"/>
        <v>0</v>
      </c>
    </row>
    <row r="91" spans="1:8" s="14" customFormat="1">
      <c r="A91" s="102" t="s">
        <v>234</v>
      </c>
      <c r="B91" s="82" t="s">
        <v>247</v>
      </c>
      <c r="C91" s="24">
        <f t="shared" si="7"/>
        <v>0</v>
      </c>
      <c r="D91" s="20"/>
      <c r="E91" s="13"/>
      <c r="F91" s="16"/>
      <c r="H91" s="140">
        <f t="shared" si="6"/>
        <v>0</v>
      </c>
    </row>
    <row r="92" spans="1:8" s="14" customFormat="1">
      <c r="A92" s="102" t="s">
        <v>235</v>
      </c>
      <c r="B92" s="82" t="s">
        <v>248</v>
      </c>
      <c r="C92" s="24">
        <f t="shared" si="7"/>
        <v>0</v>
      </c>
      <c r="D92" s="20"/>
      <c r="E92" s="13"/>
      <c r="F92" s="16"/>
      <c r="H92" s="140">
        <f t="shared" si="6"/>
        <v>0</v>
      </c>
    </row>
    <row r="93" spans="1:8" s="14" customFormat="1">
      <c r="A93" s="102" t="s">
        <v>236</v>
      </c>
      <c r="B93" s="82" t="s">
        <v>249</v>
      </c>
      <c r="C93" s="24">
        <f t="shared" si="7"/>
        <v>0</v>
      </c>
      <c r="D93" s="20"/>
      <c r="E93" s="13"/>
      <c r="F93" s="16"/>
      <c r="H93" s="140">
        <f t="shared" si="6"/>
        <v>0</v>
      </c>
    </row>
    <row r="94" spans="1:8" s="14" customFormat="1">
      <c r="A94" s="127" t="s">
        <v>237</v>
      </c>
      <c r="B94" s="128" t="s">
        <v>250</v>
      </c>
      <c r="C94" s="24">
        <f t="shared" si="7"/>
        <v>1000</v>
      </c>
      <c r="D94" s="20">
        <f>+D149-D50+D192-D89-D90-D91-D92-D93-D95-D96-D98-D99-D100</f>
        <v>0</v>
      </c>
      <c r="E94" s="13">
        <f>+E149-E50+E192-E89-E90-E91-E92-E93-E95-E96-E98-E99-E100</f>
        <v>1000</v>
      </c>
      <c r="F94" s="16">
        <f>+F149-F50+F192-F89-F90-F91-F92-F93-F95-F96-F98-F99-F100</f>
        <v>0</v>
      </c>
      <c r="H94" s="140">
        <f t="shared" si="6"/>
        <v>0</v>
      </c>
    </row>
    <row r="95" spans="1:8" s="14" customFormat="1">
      <c r="A95" s="102" t="s">
        <v>238</v>
      </c>
      <c r="B95" s="82" t="s">
        <v>251</v>
      </c>
      <c r="C95" s="24">
        <f t="shared" si="7"/>
        <v>0</v>
      </c>
      <c r="D95" s="20"/>
      <c r="E95" s="13"/>
      <c r="F95" s="16"/>
      <c r="H95" s="14">
        <f t="shared" si="6"/>
        <v>0</v>
      </c>
    </row>
    <row r="96" spans="1:8" s="14" customFormat="1">
      <c r="A96" s="102" t="s">
        <v>239</v>
      </c>
      <c r="B96" s="82" t="s">
        <v>244</v>
      </c>
      <c r="C96" s="24">
        <f t="shared" si="7"/>
        <v>0</v>
      </c>
      <c r="D96" s="20"/>
      <c r="E96" s="13"/>
      <c r="F96" s="16"/>
      <c r="H96" s="14">
        <f t="shared" si="6"/>
        <v>0</v>
      </c>
    </row>
    <row r="97" spans="1:8" s="14" customFormat="1">
      <c r="A97" s="102" t="s">
        <v>917</v>
      </c>
      <c r="B97" s="82" t="s">
        <v>913</v>
      </c>
      <c r="C97" s="24">
        <f>+D97+E97+F97</f>
        <v>0</v>
      </c>
      <c r="D97" s="20"/>
      <c r="E97" s="13"/>
      <c r="F97" s="16"/>
      <c r="H97" s="14">
        <f t="shared" si="6"/>
        <v>0</v>
      </c>
    </row>
    <row r="98" spans="1:8">
      <c r="A98" s="101" t="s">
        <v>240</v>
      </c>
      <c r="B98" s="83" t="s">
        <v>242</v>
      </c>
      <c r="C98" s="23">
        <f t="shared" si="7"/>
        <v>0</v>
      </c>
      <c r="D98" s="21"/>
      <c r="E98" s="12"/>
      <c r="F98" s="17"/>
      <c r="H98" s="4">
        <f t="shared" si="6"/>
        <v>0</v>
      </c>
    </row>
    <row r="99" spans="1:8">
      <c r="A99" s="94" t="s">
        <v>241</v>
      </c>
      <c r="B99" s="84" t="s">
        <v>243</v>
      </c>
      <c r="C99" s="26">
        <f t="shared" si="7"/>
        <v>0</v>
      </c>
      <c r="D99" s="27"/>
      <c r="E99" s="28"/>
      <c r="F99" s="29"/>
      <c r="H99" s="4">
        <f t="shared" si="6"/>
        <v>0</v>
      </c>
    </row>
    <row r="100" spans="1:8" ht="12.75" thickBot="1">
      <c r="A100" s="94" t="s">
        <v>919</v>
      </c>
      <c r="B100" s="84" t="s">
        <v>915</v>
      </c>
      <c r="C100" s="26">
        <f>+D100+E100+F100</f>
        <v>0</v>
      </c>
      <c r="D100" s="27"/>
      <c r="E100" s="28"/>
      <c r="F100" s="29"/>
      <c r="H100" s="4">
        <f t="shared" si="6"/>
        <v>0</v>
      </c>
    </row>
    <row r="101" spans="1:8" s="3" customFormat="1" ht="12.75" thickBot="1">
      <c r="A101" s="99" t="s">
        <v>43</v>
      </c>
      <c r="B101" s="85" t="s">
        <v>305</v>
      </c>
      <c r="C101" s="44">
        <f>+C71+C86</f>
        <v>0</v>
      </c>
      <c r="D101" s="33">
        <f>+D71+D86</f>
        <v>0</v>
      </c>
      <c r="E101" s="34">
        <f>+E71+E86</f>
        <v>0</v>
      </c>
      <c r="F101" s="35">
        <f>+F71+F86</f>
        <v>0</v>
      </c>
      <c r="H101" s="3">
        <f t="shared" si="6"/>
        <v>0</v>
      </c>
    </row>
    <row r="102" spans="1:8" s="3" customFormat="1" ht="12.75" thickBot="1">
      <c r="A102" s="103" t="s">
        <v>40</v>
      </c>
      <c r="B102" s="87" t="s">
        <v>306</v>
      </c>
      <c r="C102" s="45">
        <f>+C70+C101</f>
        <v>20793</v>
      </c>
      <c r="D102" s="30">
        <f>+D70+D101</f>
        <v>0</v>
      </c>
      <c r="E102" s="31">
        <f>+E70+E101</f>
        <v>20793</v>
      </c>
      <c r="F102" s="32">
        <f>+F70+F101</f>
        <v>0</v>
      </c>
      <c r="H102" s="3">
        <f t="shared" si="6"/>
        <v>0</v>
      </c>
    </row>
    <row r="103" spans="1:8" s="3" customFormat="1">
      <c r="A103" s="66"/>
      <c r="B103" s="37"/>
      <c r="C103" s="37"/>
      <c r="D103" s="37"/>
      <c r="E103" s="37"/>
      <c r="F103" s="37"/>
    </row>
    <row r="104" spans="1:8" s="3" customFormat="1">
      <c r="A104" s="66"/>
      <c r="B104" s="37"/>
      <c r="C104" s="37"/>
      <c r="D104" s="37"/>
      <c r="E104" s="37"/>
      <c r="F104" s="37"/>
    </row>
    <row r="105" spans="1:8" s="65" customFormat="1" ht="15.75">
      <c r="A105" s="1210" t="s">
        <v>80</v>
      </c>
      <c r="B105" s="1210"/>
      <c r="C105" s="1210"/>
      <c r="D105" s="1210"/>
      <c r="E105" s="1210"/>
      <c r="F105" s="1210"/>
    </row>
    <row r="106" spans="1:8" s="46" customFormat="1" ht="12.75" thickBot="1">
      <c r="A106" s="48" t="s">
        <v>278</v>
      </c>
      <c r="F106" s="47" t="s">
        <v>280</v>
      </c>
    </row>
    <row r="107" spans="1:8" s="3" customFormat="1" ht="48.75" thickBot="1">
      <c r="A107" s="95" t="s">
        <v>17</v>
      </c>
      <c r="B107" s="96" t="s">
        <v>328</v>
      </c>
      <c r="C107" s="49" t="s">
        <v>1442</v>
      </c>
      <c r="D107" s="6" t="s">
        <v>51</v>
      </c>
      <c r="E107" s="7" t="s">
        <v>52</v>
      </c>
      <c r="F107" s="8" t="s">
        <v>53</v>
      </c>
    </row>
    <row r="108" spans="1:8" s="3" customFormat="1" ht="12.75" thickBot="1">
      <c r="A108" s="97" t="s">
        <v>252</v>
      </c>
      <c r="B108" s="98" t="s">
        <v>253</v>
      </c>
      <c r="C108" s="1215" t="s">
        <v>254</v>
      </c>
      <c r="D108" s="1216"/>
      <c r="E108" s="1216"/>
      <c r="F108" s="1217"/>
    </row>
    <row r="109" spans="1:8" s="3" customFormat="1" ht="12.75" thickBot="1">
      <c r="A109" s="99" t="s">
        <v>4</v>
      </c>
      <c r="B109" s="85" t="s">
        <v>307</v>
      </c>
      <c r="C109" s="44">
        <f>+C110+C114+C116+C123+C132</f>
        <v>19793</v>
      </c>
      <c r="D109" s="33">
        <f>+D110+D114+D116+D123+D132</f>
        <v>0</v>
      </c>
      <c r="E109" s="34">
        <f>+E110+E114+E116+E123+E132</f>
        <v>19793</v>
      </c>
      <c r="F109" s="35">
        <f>+F110+F114+F116+F123+F132</f>
        <v>0</v>
      </c>
      <c r="H109" s="3">
        <f t="shared" si="6"/>
        <v>0</v>
      </c>
    </row>
    <row r="110" spans="1:8" s="3" customFormat="1" ht="12.75" thickBot="1">
      <c r="A110" s="99" t="s">
        <v>5</v>
      </c>
      <c r="B110" s="80" t="s">
        <v>308</v>
      </c>
      <c r="C110" s="44">
        <f>+C112+C113</f>
        <v>9352</v>
      </c>
      <c r="D110" s="33">
        <f>+D112+D113</f>
        <v>0</v>
      </c>
      <c r="E110" s="34">
        <f>+E112+E113</f>
        <v>9352</v>
      </c>
      <c r="F110" s="35">
        <f>+F112+F113</f>
        <v>0</v>
      </c>
      <c r="H110" s="3">
        <f t="shared" si="6"/>
        <v>0</v>
      </c>
    </row>
    <row r="111" spans="1:8" s="46" customFormat="1">
      <c r="A111" s="895" t="s">
        <v>348</v>
      </c>
      <c r="B111" s="896" t="s">
        <v>349</v>
      </c>
      <c r="C111" s="112">
        <f>+D111+E111+F111</f>
        <v>0</v>
      </c>
      <c r="D111" s="113"/>
      <c r="E111" s="114"/>
      <c r="F111" s="115"/>
      <c r="H111" s="46">
        <f t="shared" si="6"/>
        <v>0</v>
      </c>
    </row>
    <row r="112" spans="1:8">
      <c r="A112" s="100" t="s">
        <v>54</v>
      </c>
      <c r="B112" s="81" t="s">
        <v>126</v>
      </c>
      <c r="C112" s="36">
        <f>+D112+E112+F112</f>
        <v>9352</v>
      </c>
      <c r="D112" s="41"/>
      <c r="E112" s="11">
        <v>9352</v>
      </c>
      <c r="F112" s="42"/>
      <c r="H112" s="4">
        <f t="shared" si="6"/>
        <v>0</v>
      </c>
    </row>
    <row r="113" spans="1:8" ht="12.75" thickBot="1">
      <c r="A113" s="94" t="s">
        <v>55</v>
      </c>
      <c r="B113" s="84" t="s">
        <v>127</v>
      </c>
      <c r="C113" s="26">
        <f>+D113+E113+F113</f>
        <v>0</v>
      </c>
      <c r="D113" s="27"/>
      <c r="E113" s="28"/>
      <c r="F113" s="29"/>
      <c r="H113" s="4">
        <f t="shared" si="6"/>
        <v>0</v>
      </c>
    </row>
    <row r="114" spans="1:8" s="3" customFormat="1" ht="12.75" thickBot="1">
      <c r="A114" s="99" t="s">
        <v>6</v>
      </c>
      <c r="B114" s="80" t="s">
        <v>255</v>
      </c>
      <c r="C114" s="44">
        <f>+D114+E114+F114</f>
        <v>1371</v>
      </c>
      <c r="D114" s="33"/>
      <c r="E114" s="34">
        <v>1371</v>
      </c>
      <c r="F114" s="35"/>
      <c r="H114" s="3">
        <f t="shared" si="6"/>
        <v>0</v>
      </c>
    </row>
    <row r="115" spans="1:8" s="46" customFormat="1" ht="12.75" thickBot="1">
      <c r="A115" s="895" t="s">
        <v>345</v>
      </c>
      <c r="B115" s="896" t="s">
        <v>346</v>
      </c>
      <c r="C115" s="112">
        <f>+D115+E115+F115</f>
        <v>0</v>
      </c>
      <c r="D115" s="113"/>
      <c r="E115" s="114"/>
      <c r="F115" s="115"/>
      <c r="H115" s="46">
        <f t="shared" si="6"/>
        <v>0</v>
      </c>
    </row>
    <row r="116" spans="1:8" s="3" customFormat="1" ht="12.75" thickBot="1">
      <c r="A116" s="99" t="s">
        <v>3</v>
      </c>
      <c r="B116" s="80" t="s">
        <v>342</v>
      </c>
      <c r="C116" s="44">
        <f>+C118+C119+C120+C121+C122</f>
        <v>1056</v>
      </c>
      <c r="D116" s="33">
        <f>+D118+D119+D120+D121+D122</f>
        <v>0</v>
      </c>
      <c r="E116" s="34">
        <f>+E118+E119+E120+E121+E122</f>
        <v>1056</v>
      </c>
      <c r="F116" s="35">
        <f>+F118+F119+F120+F121+F122</f>
        <v>0</v>
      </c>
      <c r="H116" s="3">
        <f t="shared" si="6"/>
        <v>0</v>
      </c>
    </row>
    <row r="117" spans="1:8" s="46" customFormat="1">
      <c r="A117" s="895" t="s">
        <v>340</v>
      </c>
      <c r="B117" s="896" t="s">
        <v>347</v>
      </c>
      <c r="C117" s="112">
        <f t="shared" ref="C117:C122" si="8">+D117+E117+F117</f>
        <v>0</v>
      </c>
      <c r="D117" s="113"/>
      <c r="E117" s="114"/>
      <c r="F117" s="115"/>
      <c r="H117" s="46">
        <f t="shared" si="6"/>
        <v>0</v>
      </c>
    </row>
    <row r="118" spans="1:8">
      <c r="A118" s="100" t="s">
        <v>61</v>
      </c>
      <c r="B118" s="81" t="s">
        <v>128</v>
      </c>
      <c r="C118" s="36">
        <f t="shared" si="8"/>
        <v>374</v>
      </c>
      <c r="D118" s="41"/>
      <c r="E118" s="11">
        <v>374</v>
      </c>
      <c r="F118" s="42"/>
      <c r="H118" s="4">
        <f t="shared" si="6"/>
        <v>0</v>
      </c>
    </row>
    <row r="119" spans="1:8">
      <c r="A119" s="101" t="s">
        <v>62</v>
      </c>
      <c r="B119" s="83" t="s">
        <v>129</v>
      </c>
      <c r="C119" s="23">
        <f t="shared" si="8"/>
        <v>142</v>
      </c>
      <c r="D119" s="21"/>
      <c r="E119" s="12">
        <v>142</v>
      </c>
      <c r="F119" s="17"/>
      <c r="H119" s="4">
        <f t="shared" si="6"/>
        <v>0</v>
      </c>
    </row>
    <row r="120" spans="1:8">
      <c r="A120" s="101" t="s">
        <v>63</v>
      </c>
      <c r="B120" s="83" t="s">
        <v>130</v>
      </c>
      <c r="C120" s="23">
        <f t="shared" si="8"/>
        <v>326</v>
      </c>
      <c r="D120" s="21"/>
      <c r="E120" s="12">
        <v>326</v>
      </c>
      <c r="F120" s="17"/>
      <c r="H120" s="4">
        <f t="shared" si="6"/>
        <v>0</v>
      </c>
    </row>
    <row r="121" spans="1:8">
      <c r="A121" s="101" t="s">
        <v>64</v>
      </c>
      <c r="B121" s="83" t="s">
        <v>131</v>
      </c>
      <c r="C121" s="23">
        <f t="shared" si="8"/>
        <v>0</v>
      </c>
      <c r="D121" s="21"/>
      <c r="E121" s="12"/>
      <c r="F121" s="17"/>
      <c r="H121" s="4">
        <f t="shared" si="6"/>
        <v>0</v>
      </c>
    </row>
    <row r="122" spans="1:8" ht="12.75" thickBot="1">
      <c r="A122" s="94" t="s">
        <v>65</v>
      </c>
      <c r="B122" s="84" t="s">
        <v>132</v>
      </c>
      <c r="C122" s="26">
        <f t="shared" si="8"/>
        <v>214</v>
      </c>
      <c r="D122" s="27"/>
      <c r="E122" s="28">
        <v>214</v>
      </c>
      <c r="F122" s="29"/>
      <c r="H122" s="4">
        <f t="shared" si="6"/>
        <v>0</v>
      </c>
    </row>
    <row r="123" spans="1:8" s="3" customFormat="1" ht="12.75" thickBot="1">
      <c r="A123" s="99" t="s">
        <v>16</v>
      </c>
      <c r="B123" s="80" t="s">
        <v>309</v>
      </c>
      <c r="C123" s="44">
        <f>+C124+C125+C126+C127+C128+C129+C130+C131</f>
        <v>0</v>
      </c>
      <c r="D123" s="33">
        <f>+D124+D125+D126+D127+D128+D129+D130+D131</f>
        <v>0</v>
      </c>
      <c r="E123" s="34">
        <f>+E124+E125+E126+E127+E128+E129+E130+E131</f>
        <v>0</v>
      </c>
      <c r="F123" s="35">
        <f>+F124+F125+F126+F127+F128+F129+F130+F131</f>
        <v>0</v>
      </c>
      <c r="H123" s="3">
        <f t="shared" si="6"/>
        <v>0</v>
      </c>
    </row>
    <row r="124" spans="1:8">
      <c r="A124" s="100" t="s">
        <v>226</v>
      </c>
      <c r="B124" s="81" t="s">
        <v>133</v>
      </c>
      <c r="C124" s="36">
        <f t="shared" ref="C124:C131" si="9">+D124+E124+F124</f>
        <v>0</v>
      </c>
      <c r="D124" s="41"/>
      <c r="E124" s="11"/>
      <c r="F124" s="42"/>
      <c r="H124" s="4">
        <f t="shared" si="6"/>
        <v>0</v>
      </c>
    </row>
    <row r="125" spans="1:8">
      <c r="A125" s="101" t="s">
        <v>227</v>
      </c>
      <c r="B125" s="83" t="s">
        <v>134</v>
      </c>
      <c r="C125" s="23">
        <f t="shared" si="9"/>
        <v>0</v>
      </c>
      <c r="D125" s="21"/>
      <c r="E125" s="12"/>
      <c r="F125" s="17"/>
      <c r="H125" s="4">
        <f t="shared" si="6"/>
        <v>0</v>
      </c>
    </row>
    <row r="126" spans="1:8">
      <c r="A126" s="101" t="s">
        <v>228</v>
      </c>
      <c r="B126" s="83" t="s">
        <v>135</v>
      </c>
      <c r="C126" s="23">
        <f t="shared" si="9"/>
        <v>0</v>
      </c>
      <c r="D126" s="21"/>
      <c r="E126" s="12"/>
      <c r="F126" s="17"/>
      <c r="H126" s="4">
        <f t="shared" si="6"/>
        <v>0</v>
      </c>
    </row>
    <row r="127" spans="1:8">
      <c r="A127" s="101" t="s">
        <v>256</v>
      </c>
      <c r="B127" s="83" t="s">
        <v>136</v>
      </c>
      <c r="C127" s="23">
        <f t="shared" si="9"/>
        <v>0</v>
      </c>
      <c r="D127" s="21"/>
      <c r="E127" s="12"/>
      <c r="F127" s="17"/>
      <c r="H127" s="4">
        <f t="shared" si="6"/>
        <v>0</v>
      </c>
    </row>
    <row r="128" spans="1:8">
      <c r="A128" s="101" t="s">
        <v>257</v>
      </c>
      <c r="B128" s="83" t="s">
        <v>137</v>
      </c>
      <c r="C128" s="23">
        <f t="shared" si="9"/>
        <v>0</v>
      </c>
      <c r="D128" s="21"/>
      <c r="E128" s="12"/>
      <c r="F128" s="17"/>
      <c r="H128" s="4">
        <f t="shared" si="6"/>
        <v>0</v>
      </c>
    </row>
    <row r="129" spans="1:8">
      <c r="A129" s="101" t="s">
        <v>258</v>
      </c>
      <c r="B129" s="83" t="s">
        <v>138</v>
      </c>
      <c r="C129" s="23">
        <f t="shared" si="9"/>
        <v>0</v>
      </c>
      <c r="D129" s="21"/>
      <c r="E129" s="12"/>
      <c r="F129" s="17"/>
      <c r="H129" s="4">
        <f t="shared" si="6"/>
        <v>0</v>
      </c>
    </row>
    <row r="130" spans="1:8">
      <c r="A130" s="101" t="s">
        <v>259</v>
      </c>
      <c r="B130" s="83" t="s">
        <v>139</v>
      </c>
      <c r="C130" s="23">
        <f t="shared" si="9"/>
        <v>0</v>
      </c>
      <c r="D130" s="21"/>
      <c r="E130" s="12"/>
      <c r="F130" s="17"/>
      <c r="H130" s="4">
        <f t="shared" si="6"/>
        <v>0</v>
      </c>
    </row>
    <row r="131" spans="1:8" ht="12.75" thickBot="1">
      <c r="A131" s="94" t="s">
        <v>260</v>
      </c>
      <c r="B131" s="84" t="s">
        <v>140</v>
      </c>
      <c r="C131" s="26">
        <f t="shared" si="9"/>
        <v>0</v>
      </c>
      <c r="D131" s="27"/>
      <c r="E131" s="28"/>
      <c r="F131" s="29"/>
      <c r="H131" s="4">
        <f t="shared" si="6"/>
        <v>0</v>
      </c>
    </row>
    <row r="132" spans="1:8" s="3" customFormat="1" ht="12.75" thickBot="1">
      <c r="A132" s="99" t="s">
        <v>15</v>
      </c>
      <c r="B132" s="80" t="s">
        <v>923</v>
      </c>
      <c r="C132" s="44">
        <f>+C133+C134+C135+C136+C137+C138+C140+C141+C142+C143+C144+C145+C146</f>
        <v>8014</v>
      </c>
      <c r="D132" s="33">
        <f>+D133+D134+D135+D136+D137+D138+D140+D141+D142+D143+D144+D145+D146</f>
        <v>0</v>
      </c>
      <c r="E132" s="34">
        <f>+E133+E134+E135+E136+E137+E138+E140+E141+E142+E143+E144+E145+E146</f>
        <v>8014</v>
      </c>
      <c r="F132" s="35">
        <f>+F133+F134+F135+F136+F137+F138+F140+F141+F142+F143+F144+F145+F146</f>
        <v>0</v>
      </c>
      <c r="H132" s="3">
        <f t="shared" si="6"/>
        <v>0</v>
      </c>
    </row>
    <row r="133" spans="1:8">
      <c r="A133" s="100" t="s">
        <v>87</v>
      </c>
      <c r="B133" s="81" t="s">
        <v>141</v>
      </c>
      <c r="C133" s="36">
        <f t="shared" ref="C133:C145" si="10">+D133+E133+F133</f>
        <v>0</v>
      </c>
      <c r="D133" s="41"/>
      <c r="E133" s="11"/>
      <c r="F133" s="42"/>
      <c r="H133" s="4">
        <f t="shared" si="6"/>
        <v>0</v>
      </c>
    </row>
    <row r="134" spans="1:8">
      <c r="A134" s="101" t="s">
        <v>88</v>
      </c>
      <c r="B134" s="83" t="s">
        <v>142</v>
      </c>
      <c r="C134" s="23">
        <f t="shared" si="10"/>
        <v>8014</v>
      </c>
      <c r="D134" s="21"/>
      <c r="E134" s="12">
        <v>8014</v>
      </c>
      <c r="F134" s="17"/>
      <c r="H134" s="4">
        <f t="shared" si="6"/>
        <v>0</v>
      </c>
    </row>
    <row r="135" spans="1:8">
      <c r="A135" s="101" t="s">
        <v>181</v>
      </c>
      <c r="B135" s="83" t="s">
        <v>143</v>
      </c>
      <c r="C135" s="23">
        <f t="shared" si="10"/>
        <v>0</v>
      </c>
      <c r="D135" s="21"/>
      <c r="E135" s="12"/>
      <c r="F135" s="17"/>
      <c r="H135" s="4">
        <f t="shared" si="6"/>
        <v>0</v>
      </c>
    </row>
    <row r="136" spans="1:8">
      <c r="A136" s="101" t="s">
        <v>182</v>
      </c>
      <c r="B136" s="83" t="s">
        <v>144</v>
      </c>
      <c r="C136" s="23">
        <f t="shared" si="10"/>
        <v>0</v>
      </c>
      <c r="D136" s="21"/>
      <c r="E136" s="12"/>
      <c r="F136" s="17"/>
      <c r="H136" s="4">
        <f t="shared" si="6"/>
        <v>0</v>
      </c>
    </row>
    <row r="137" spans="1:8">
      <c r="A137" s="101" t="s">
        <v>183</v>
      </c>
      <c r="B137" s="83" t="s">
        <v>145</v>
      </c>
      <c r="C137" s="23">
        <f t="shared" si="10"/>
        <v>0</v>
      </c>
      <c r="D137" s="21"/>
      <c r="E137" s="12"/>
      <c r="F137" s="17"/>
      <c r="H137" s="4">
        <f t="shared" si="6"/>
        <v>0</v>
      </c>
    </row>
    <row r="138" spans="1:8">
      <c r="A138" s="101" t="s">
        <v>261</v>
      </c>
      <c r="B138" s="83" t="s">
        <v>146</v>
      </c>
      <c r="C138" s="23">
        <f t="shared" si="10"/>
        <v>0</v>
      </c>
      <c r="D138" s="21"/>
      <c r="E138" s="12"/>
      <c r="F138" s="17"/>
      <c r="H138" s="4">
        <f t="shared" si="6"/>
        <v>0</v>
      </c>
    </row>
    <row r="139" spans="1:8" s="14" customFormat="1">
      <c r="A139" s="105" t="s">
        <v>335</v>
      </c>
      <c r="B139" s="894" t="s">
        <v>929</v>
      </c>
      <c r="C139" s="58">
        <f t="shared" si="10"/>
        <v>0</v>
      </c>
      <c r="D139" s="56"/>
      <c r="E139" s="54"/>
      <c r="F139" s="55"/>
      <c r="H139" s="14">
        <f t="shared" ref="H139:H202" si="11">+C139-D139-E139-F139</f>
        <v>0</v>
      </c>
    </row>
    <row r="140" spans="1:8">
      <c r="A140" s="101" t="s">
        <v>262</v>
      </c>
      <c r="B140" s="83" t="s">
        <v>147</v>
      </c>
      <c r="C140" s="23">
        <f t="shared" si="10"/>
        <v>0</v>
      </c>
      <c r="D140" s="21"/>
      <c r="E140" s="12"/>
      <c r="F140" s="17"/>
      <c r="H140" s="4">
        <f t="shared" si="11"/>
        <v>0</v>
      </c>
    </row>
    <row r="141" spans="1:8">
      <c r="A141" s="101" t="s">
        <v>263</v>
      </c>
      <c r="B141" s="83" t="s">
        <v>148</v>
      </c>
      <c r="C141" s="23">
        <f t="shared" si="10"/>
        <v>0</v>
      </c>
      <c r="D141" s="21"/>
      <c r="E141" s="12"/>
      <c r="F141" s="17"/>
      <c r="H141" s="4">
        <f t="shared" si="11"/>
        <v>0</v>
      </c>
    </row>
    <row r="142" spans="1:8">
      <c r="A142" s="101" t="s">
        <v>264</v>
      </c>
      <c r="B142" s="83" t="s">
        <v>149</v>
      </c>
      <c r="C142" s="23">
        <f t="shared" si="10"/>
        <v>0</v>
      </c>
      <c r="D142" s="21"/>
      <c r="E142" s="12"/>
      <c r="F142" s="17"/>
      <c r="H142" s="4">
        <f t="shared" si="11"/>
        <v>0</v>
      </c>
    </row>
    <row r="143" spans="1:8">
      <c r="A143" s="101" t="s">
        <v>265</v>
      </c>
      <c r="B143" s="83" t="s">
        <v>150</v>
      </c>
      <c r="C143" s="23">
        <f t="shared" si="10"/>
        <v>0</v>
      </c>
      <c r="D143" s="21"/>
      <c r="E143" s="12"/>
      <c r="F143" s="17"/>
      <c r="H143" s="4">
        <f t="shared" si="11"/>
        <v>0</v>
      </c>
    </row>
    <row r="144" spans="1:8">
      <c r="A144" s="101" t="s">
        <v>266</v>
      </c>
      <c r="B144" s="83" t="s">
        <v>924</v>
      </c>
      <c r="C144" s="23">
        <f>+D144+E144+F144</f>
        <v>0</v>
      </c>
      <c r="D144" s="21"/>
      <c r="E144" s="12"/>
      <c r="F144" s="17"/>
      <c r="H144" s="4">
        <f t="shared" si="11"/>
        <v>0</v>
      </c>
    </row>
    <row r="145" spans="1:8">
      <c r="A145" s="101" t="s">
        <v>267</v>
      </c>
      <c r="B145" s="83" t="s">
        <v>925</v>
      </c>
      <c r="C145" s="23">
        <f t="shared" si="10"/>
        <v>0</v>
      </c>
      <c r="D145" s="21"/>
      <c r="E145" s="12"/>
      <c r="F145" s="17"/>
      <c r="H145" s="4">
        <f t="shared" si="11"/>
        <v>0</v>
      </c>
    </row>
    <row r="146" spans="1:8">
      <c r="A146" s="94" t="s">
        <v>920</v>
      </c>
      <c r="B146" s="84" t="s">
        <v>926</v>
      </c>
      <c r="C146" s="26">
        <f>+C147+C148</f>
        <v>0</v>
      </c>
      <c r="D146" s="27">
        <f>+D147+D148</f>
        <v>0</v>
      </c>
      <c r="E146" s="28">
        <f>+E147+E148</f>
        <v>0</v>
      </c>
      <c r="F146" s="29">
        <f>+F147+F148</f>
        <v>0</v>
      </c>
      <c r="H146" s="4">
        <f t="shared" si="11"/>
        <v>0</v>
      </c>
    </row>
    <row r="147" spans="1:8" s="14" customFormat="1">
      <c r="A147" s="105" t="s">
        <v>921</v>
      </c>
      <c r="B147" s="90" t="s">
        <v>927</v>
      </c>
      <c r="C147" s="58">
        <f>+D147+E147+F147</f>
        <v>0</v>
      </c>
      <c r="D147" s="56"/>
      <c r="E147" s="54"/>
      <c r="F147" s="55"/>
      <c r="H147" s="14">
        <f t="shared" si="11"/>
        <v>0</v>
      </c>
    </row>
    <row r="148" spans="1:8" s="14" customFormat="1" ht="12.75" thickBot="1">
      <c r="A148" s="105" t="s">
        <v>922</v>
      </c>
      <c r="B148" s="90" t="s">
        <v>928</v>
      </c>
      <c r="C148" s="58">
        <f>+D148+E148+F148</f>
        <v>0</v>
      </c>
      <c r="D148" s="56"/>
      <c r="E148" s="54"/>
      <c r="F148" s="55"/>
      <c r="H148" s="14">
        <f t="shared" si="11"/>
        <v>0</v>
      </c>
    </row>
    <row r="149" spans="1:8" s="3" customFormat="1" ht="12.75" thickBot="1">
      <c r="A149" s="99" t="s">
        <v>14</v>
      </c>
      <c r="B149" s="85" t="s">
        <v>310</v>
      </c>
      <c r="C149" s="44">
        <f>+C150+C159+C165</f>
        <v>1000</v>
      </c>
      <c r="D149" s="33">
        <f>+D150+D159+D165</f>
        <v>0</v>
      </c>
      <c r="E149" s="34">
        <f>+E150+E159+E165</f>
        <v>1000</v>
      </c>
      <c r="F149" s="35">
        <f>+F150+F159+F165</f>
        <v>0</v>
      </c>
      <c r="H149" s="3">
        <f t="shared" si="11"/>
        <v>0</v>
      </c>
    </row>
    <row r="150" spans="1:8" s="3" customFormat="1" ht="12.75" thickBot="1">
      <c r="A150" s="99" t="s">
        <v>13</v>
      </c>
      <c r="B150" s="80" t="s">
        <v>311</v>
      </c>
      <c r="C150" s="44">
        <f>+C152+C153+C154+C155+C156+C157+C158</f>
        <v>1000</v>
      </c>
      <c r="D150" s="33">
        <f>+D152+D153+D154+D155+D156+D157+D158</f>
        <v>0</v>
      </c>
      <c r="E150" s="34">
        <f>+E152+E153+E154+E155+E156+E157+E158</f>
        <v>1000</v>
      </c>
      <c r="F150" s="35">
        <f>+F152+F153+F154+F155+F156+F157+F158</f>
        <v>0</v>
      </c>
      <c r="H150" s="3">
        <f t="shared" si="11"/>
        <v>0</v>
      </c>
    </row>
    <row r="151" spans="1:8" s="46" customFormat="1">
      <c r="A151" s="895" t="s">
        <v>930</v>
      </c>
      <c r="B151" s="896" t="s">
        <v>341</v>
      </c>
      <c r="C151" s="112">
        <f t="shared" ref="C151:C158" si="12">+D151+E151+F151</f>
        <v>0</v>
      </c>
      <c r="D151" s="113"/>
      <c r="E151" s="114"/>
      <c r="F151" s="115"/>
      <c r="H151" s="46">
        <f t="shared" si="11"/>
        <v>0</v>
      </c>
    </row>
    <row r="152" spans="1:8">
      <c r="A152" s="100" t="s">
        <v>66</v>
      </c>
      <c r="B152" s="81" t="s">
        <v>151</v>
      </c>
      <c r="C152" s="36">
        <f t="shared" si="12"/>
        <v>0</v>
      </c>
      <c r="D152" s="41"/>
      <c r="E152" s="11"/>
      <c r="F152" s="42"/>
      <c r="H152" s="4">
        <f t="shared" si="11"/>
        <v>0</v>
      </c>
    </row>
    <row r="153" spans="1:8">
      <c r="A153" s="101" t="s">
        <v>67</v>
      </c>
      <c r="B153" s="83" t="s">
        <v>152</v>
      </c>
      <c r="C153" s="23">
        <f t="shared" si="12"/>
        <v>0</v>
      </c>
      <c r="D153" s="21"/>
      <c r="E153" s="12"/>
      <c r="F153" s="17"/>
      <c r="H153" s="4">
        <f t="shared" si="11"/>
        <v>0</v>
      </c>
    </row>
    <row r="154" spans="1:8">
      <c r="A154" s="101" t="s">
        <v>68</v>
      </c>
      <c r="B154" s="83" t="s">
        <v>153</v>
      </c>
      <c r="C154" s="23">
        <f t="shared" si="12"/>
        <v>0</v>
      </c>
      <c r="D154" s="21"/>
      <c r="E154" s="12"/>
      <c r="F154" s="17"/>
      <c r="H154" s="4">
        <f t="shared" si="11"/>
        <v>0</v>
      </c>
    </row>
    <row r="155" spans="1:8">
      <c r="A155" s="101" t="s">
        <v>229</v>
      </c>
      <c r="B155" s="83" t="s">
        <v>154</v>
      </c>
      <c r="C155" s="23">
        <f t="shared" si="12"/>
        <v>787</v>
      </c>
      <c r="D155" s="21"/>
      <c r="E155" s="12">
        <v>787</v>
      </c>
      <c r="F155" s="17"/>
      <c r="H155" s="4">
        <f t="shared" si="11"/>
        <v>0</v>
      </c>
    </row>
    <row r="156" spans="1:8">
      <c r="A156" s="101" t="s">
        <v>230</v>
      </c>
      <c r="B156" s="83" t="s">
        <v>155</v>
      </c>
      <c r="C156" s="23">
        <f t="shared" si="12"/>
        <v>0</v>
      </c>
      <c r="D156" s="21"/>
      <c r="E156" s="12"/>
      <c r="F156" s="17"/>
      <c r="H156" s="4">
        <f t="shared" si="11"/>
        <v>0</v>
      </c>
    </row>
    <row r="157" spans="1:8">
      <c r="A157" s="101" t="s">
        <v>268</v>
      </c>
      <c r="B157" s="83" t="s">
        <v>156</v>
      </c>
      <c r="C157" s="23">
        <f t="shared" si="12"/>
        <v>0</v>
      </c>
      <c r="D157" s="21"/>
      <c r="E157" s="12"/>
      <c r="F157" s="17"/>
      <c r="H157" s="4">
        <f t="shared" si="11"/>
        <v>0</v>
      </c>
    </row>
    <row r="158" spans="1:8" ht="12.75" thickBot="1">
      <c r="A158" s="94" t="s">
        <v>269</v>
      </c>
      <c r="B158" s="84" t="s">
        <v>157</v>
      </c>
      <c r="C158" s="26">
        <f t="shared" si="12"/>
        <v>213</v>
      </c>
      <c r="D158" s="27"/>
      <c r="E158" s="28">
        <v>213</v>
      </c>
      <c r="F158" s="29"/>
      <c r="H158" s="4">
        <f t="shared" si="11"/>
        <v>0</v>
      </c>
    </row>
    <row r="159" spans="1:8" s="3" customFormat="1" ht="12.75" thickBot="1">
      <c r="A159" s="99" t="s">
        <v>12</v>
      </c>
      <c r="B159" s="80" t="s">
        <v>312</v>
      </c>
      <c r="C159" s="44">
        <f>+C161+C162+C163+C164</f>
        <v>0</v>
      </c>
      <c r="D159" s="33">
        <f>+D161+D162+D163+D164</f>
        <v>0</v>
      </c>
      <c r="E159" s="34">
        <f>+E161+E162+E163+E164</f>
        <v>0</v>
      </c>
      <c r="F159" s="35">
        <f>+F161+F162+F163+F164</f>
        <v>0</v>
      </c>
      <c r="H159" s="3">
        <f t="shared" si="11"/>
        <v>0</v>
      </c>
    </row>
    <row r="160" spans="1:8" s="46" customFormat="1">
      <c r="A160" s="895" t="s">
        <v>343</v>
      </c>
      <c r="B160" s="896" t="s">
        <v>344</v>
      </c>
      <c r="C160" s="112">
        <f>+D160+E160+F160</f>
        <v>0</v>
      </c>
      <c r="D160" s="113"/>
      <c r="E160" s="114"/>
      <c r="F160" s="115"/>
      <c r="H160" s="46">
        <f t="shared" si="11"/>
        <v>0</v>
      </c>
    </row>
    <row r="161" spans="1:8">
      <c r="A161" s="100" t="s">
        <v>69</v>
      </c>
      <c r="B161" s="81" t="s">
        <v>158</v>
      </c>
      <c r="C161" s="36">
        <f>+D161+E161+F161</f>
        <v>0</v>
      </c>
      <c r="D161" s="41"/>
      <c r="E161" s="11"/>
      <c r="F161" s="42"/>
      <c r="H161" s="4">
        <f t="shared" si="11"/>
        <v>0</v>
      </c>
    </row>
    <row r="162" spans="1:8">
      <c r="A162" s="101" t="s">
        <v>70</v>
      </c>
      <c r="B162" s="83" t="s">
        <v>159</v>
      </c>
      <c r="C162" s="23">
        <f>+D162+E162+F162</f>
        <v>0</v>
      </c>
      <c r="D162" s="21"/>
      <c r="E162" s="12"/>
      <c r="F162" s="17"/>
      <c r="H162" s="4">
        <f t="shared" si="11"/>
        <v>0</v>
      </c>
    </row>
    <row r="163" spans="1:8">
      <c r="A163" s="101" t="s">
        <v>71</v>
      </c>
      <c r="B163" s="83" t="s">
        <v>160</v>
      </c>
      <c r="C163" s="23">
        <f>+D163+E163+F163</f>
        <v>0</v>
      </c>
      <c r="D163" s="21"/>
      <c r="E163" s="12"/>
      <c r="F163" s="17"/>
      <c r="H163" s="4">
        <f t="shared" si="11"/>
        <v>0</v>
      </c>
    </row>
    <row r="164" spans="1:8" ht="12.75" thickBot="1">
      <c r="A164" s="94" t="s">
        <v>72</v>
      </c>
      <c r="B164" s="84" t="s">
        <v>161</v>
      </c>
      <c r="C164" s="26">
        <f>+D164+E164+F164</f>
        <v>0</v>
      </c>
      <c r="D164" s="27"/>
      <c r="E164" s="28"/>
      <c r="F164" s="29"/>
      <c r="H164" s="4">
        <f t="shared" si="11"/>
        <v>0</v>
      </c>
    </row>
    <row r="165" spans="1:8" s="3" customFormat="1" ht="12.75" thickBot="1">
      <c r="A165" s="99" t="s">
        <v>11</v>
      </c>
      <c r="B165" s="80" t="s">
        <v>932</v>
      </c>
      <c r="C165" s="44">
        <f>+C166+C167+C168+C169+C171+C172+C173+C174+C175</f>
        <v>0</v>
      </c>
      <c r="D165" s="33">
        <f>+D166+D167+D168+D169+D171+D172+D173+D174+D175</f>
        <v>0</v>
      </c>
      <c r="E165" s="34">
        <f>+E166+E167+E168+E169+E171+E172+E173+E174+E175</f>
        <v>0</v>
      </c>
      <c r="F165" s="35">
        <f>+F166+F167+F168+F169+F171+F172+F173+F174+F175</f>
        <v>0</v>
      </c>
      <c r="H165" s="3">
        <f t="shared" si="11"/>
        <v>0</v>
      </c>
    </row>
    <row r="166" spans="1:8">
      <c r="A166" s="100" t="s">
        <v>270</v>
      </c>
      <c r="B166" s="81" t="s">
        <v>162</v>
      </c>
      <c r="C166" s="36">
        <f t="shared" ref="C166:C175" si="13">+D166+E166+F166</f>
        <v>0</v>
      </c>
      <c r="D166" s="41"/>
      <c r="E166" s="11"/>
      <c r="F166" s="42"/>
      <c r="H166" s="4">
        <f t="shared" si="11"/>
        <v>0</v>
      </c>
    </row>
    <row r="167" spans="1:8">
      <c r="A167" s="101" t="s">
        <v>271</v>
      </c>
      <c r="B167" s="83" t="s">
        <v>163</v>
      </c>
      <c r="C167" s="23">
        <f t="shared" si="13"/>
        <v>0</v>
      </c>
      <c r="D167" s="21"/>
      <c r="E167" s="12"/>
      <c r="F167" s="17"/>
      <c r="H167" s="4">
        <f t="shared" si="11"/>
        <v>0</v>
      </c>
    </row>
    <row r="168" spans="1:8">
      <c r="A168" s="101" t="s">
        <v>272</v>
      </c>
      <c r="B168" s="83" t="s">
        <v>164</v>
      </c>
      <c r="C168" s="23">
        <f t="shared" si="13"/>
        <v>0</v>
      </c>
      <c r="D168" s="21"/>
      <c r="E168" s="12"/>
      <c r="F168" s="17"/>
      <c r="H168" s="4">
        <f t="shared" si="11"/>
        <v>0</v>
      </c>
    </row>
    <row r="169" spans="1:8">
      <c r="A169" s="101" t="s">
        <v>273</v>
      </c>
      <c r="B169" s="83" t="s">
        <v>165</v>
      </c>
      <c r="C169" s="23">
        <f t="shared" si="13"/>
        <v>0</v>
      </c>
      <c r="D169" s="21"/>
      <c r="E169" s="12"/>
      <c r="F169" s="17"/>
      <c r="H169" s="4">
        <f t="shared" si="11"/>
        <v>0</v>
      </c>
    </row>
    <row r="170" spans="1:8" s="14" customFormat="1">
      <c r="A170" s="105" t="s">
        <v>338</v>
      </c>
      <c r="B170" s="894" t="s">
        <v>339</v>
      </c>
      <c r="C170" s="58">
        <f t="shared" si="13"/>
        <v>0</v>
      </c>
      <c r="D170" s="56"/>
      <c r="E170" s="54"/>
      <c r="F170" s="55"/>
      <c r="H170" s="14">
        <f t="shared" si="11"/>
        <v>0</v>
      </c>
    </row>
    <row r="171" spans="1:8">
      <c r="A171" s="101" t="s">
        <v>274</v>
      </c>
      <c r="B171" s="83" t="s">
        <v>166</v>
      </c>
      <c r="C171" s="23">
        <f t="shared" si="13"/>
        <v>0</v>
      </c>
      <c r="D171" s="21"/>
      <c r="E171" s="12"/>
      <c r="F171" s="17"/>
      <c r="H171" s="4">
        <f t="shared" si="11"/>
        <v>0</v>
      </c>
    </row>
    <row r="172" spans="1:8">
      <c r="A172" s="101" t="s">
        <v>275</v>
      </c>
      <c r="B172" s="83" t="s">
        <v>167</v>
      </c>
      <c r="C172" s="23">
        <f t="shared" si="13"/>
        <v>0</v>
      </c>
      <c r="D172" s="21"/>
      <c r="E172" s="12"/>
      <c r="F172" s="17"/>
      <c r="H172" s="4">
        <f t="shared" si="11"/>
        <v>0</v>
      </c>
    </row>
    <row r="173" spans="1:8">
      <c r="A173" s="101" t="s">
        <v>276</v>
      </c>
      <c r="B173" s="83" t="s">
        <v>168</v>
      </c>
      <c r="C173" s="23">
        <f t="shared" si="13"/>
        <v>0</v>
      </c>
      <c r="D173" s="21"/>
      <c r="E173" s="12"/>
      <c r="F173" s="17"/>
      <c r="H173" s="4">
        <f t="shared" si="11"/>
        <v>0</v>
      </c>
    </row>
    <row r="174" spans="1:8">
      <c r="A174" s="101" t="s">
        <v>277</v>
      </c>
      <c r="B174" s="83" t="s">
        <v>933</v>
      </c>
      <c r="C174" s="23">
        <f>+D174+E174+F174</f>
        <v>0</v>
      </c>
      <c r="D174" s="21"/>
      <c r="E174" s="12"/>
      <c r="F174" s="17"/>
      <c r="H174" s="4">
        <f t="shared" si="11"/>
        <v>0</v>
      </c>
    </row>
    <row r="175" spans="1:8" ht="12.75" thickBot="1">
      <c r="A175" s="94" t="s">
        <v>931</v>
      </c>
      <c r="B175" s="84" t="s">
        <v>934</v>
      </c>
      <c r="C175" s="26">
        <f t="shared" si="13"/>
        <v>0</v>
      </c>
      <c r="D175" s="27"/>
      <c r="E175" s="28"/>
      <c r="F175" s="29"/>
      <c r="H175" s="4">
        <f t="shared" si="11"/>
        <v>0</v>
      </c>
    </row>
    <row r="176" spans="1:8" s="3" customFormat="1" ht="12.75" thickBot="1">
      <c r="A176" s="99" t="s">
        <v>10</v>
      </c>
      <c r="B176" s="85" t="s">
        <v>313</v>
      </c>
      <c r="C176" s="44">
        <f>+C109+C149</f>
        <v>20793</v>
      </c>
      <c r="D176" s="33">
        <f>+D109+D149</f>
        <v>0</v>
      </c>
      <c r="E176" s="34">
        <f>+E109+E149</f>
        <v>20793</v>
      </c>
      <c r="F176" s="35">
        <f>+F109+F149</f>
        <v>0</v>
      </c>
      <c r="H176" s="3">
        <f t="shared" si="11"/>
        <v>0</v>
      </c>
    </row>
    <row r="177" spans="1:8" s="3" customFormat="1" ht="12.75" thickBot="1">
      <c r="A177" s="99" t="s">
        <v>9</v>
      </c>
      <c r="B177" s="86" t="s">
        <v>314</v>
      </c>
      <c r="C177" s="44">
        <f>+C178</f>
        <v>0</v>
      </c>
      <c r="D177" s="33">
        <f>+D178</f>
        <v>0</v>
      </c>
      <c r="E177" s="34">
        <f>+E178</f>
        <v>0</v>
      </c>
      <c r="F177" s="35">
        <f>+F178</f>
        <v>0</v>
      </c>
      <c r="H177" s="3">
        <f t="shared" si="11"/>
        <v>0</v>
      </c>
    </row>
    <row r="178" spans="1:8" s="3" customFormat="1" ht="12.75" thickBot="1">
      <c r="A178" s="99" t="s">
        <v>45</v>
      </c>
      <c r="B178" s="80" t="s">
        <v>941</v>
      </c>
      <c r="C178" s="44">
        <f>+C179+C189+C190+C191</f>
        <v>0</v>
      </c>
      <c r="D178" s="33">
        <f>+D179+D189+D190+D191</f>
        <v>0</v>
      </c>
      <c r="E178" s="34">
        <f>+E179+E189+E190+E191</f>
        <v>0</v>
      </c>
      <c r="F178" s="35">
        <f>+F179+F189+F190+F191</f>
        <v>0</v>
      </c>
      <c r="H178" s="3">
        <f t="shared" si="11"/>
        <v>0</v>
      </c>
    </row>
    <row r="179" spans="1:8">
      <c r="A179" s="100" t="s">
        <v>75</v>
      </c>
      <c r="B179" s="81" t="s">
        <v>942</v>
      </c>
      <c r="C179" s="36">
        <f>+C180+C181+C182+C183+C184+C185+C186+C187+C188</f>
        <v>0</v>
      </c>
      <c r="D179" s="41">
        <f>+D180+D181+D182+D183+D184+D185+D186+D187+D188</f>
        <v>0</v>
      </c>
      <c r="E179" s="11">
        <f>+E180+E181+E182+E183+E184+E185+E186+E187+E188</f>
        <v>0</v>
      </c>
      <c r="F179" s="42">
        <f>+F180+F181+F182+F183+F184+F185+F186+F187+F188</f>
        <v>0</v>
      </c>
      <c r="H179" s="4">
        <f t="shared" si="11"/>
        <v>0</v>
      </c>
    </row>
    <row r="180" spans="1:8" s="14" customFormat="1">
      <c r="A180" s="102" t="s">
        <v>204</v>
      </c>
      <c r="B180" s="82" t="s">
        <v>169</v>
      </c>
      <c r="C180" s="24">
        <f t="shared" ref="C180:C190" si="14">+D180+E180+F180</f>
        <v>0</v>
      </c>
      <c r="D180" s="20"/>
      <c r="E180" s="13"/>
      <c r="F180" s="16"/>
      <c r="H180" s="14">
        <f t="shared" si="11"/>
        <v>0</v>
      </c>
    </row>
    <row r="181" spans="1:8" s="14" customFormat="1">
      <c r="A181" s="102" t="s">
        <v>205</v>
      </c>
      <c r="B181" s="82" t="s">
        <v>170</v>
      </c>
      <c r="C181" s="24">
        <f t="shared" si="14"/>
        <v>0</v>
      </c>
      <c r="D181" s="20"/>
      <c r="E181" s="13"/>
      <c r="F181" s="16"/>
      <c r="H181" s="14">
        <f t="shared" si="11"/>
        <v>0</v>
      </c>
    </row>
    <row r="182" spans="1:8" s="14" customFormat="1">
      <c r="A182" s="102" t="s">
        <v>206</v>
      </c>
      <c r="B182" s="82" t="s">
        <v>171</v>
      </c>
      <c r="C182" s="24">
        <f t="shared" si="14"/>
        <v>0</v>
      </c>
      <c r="D182" s="20"/>
      <c r="E182" s="13"/>
      <c r="F182" s="16"/>
      <c r="H182" s="14">
        <f t="shared" si="11"/>
        <v>0</v>
      </c>
    </row>
    <row r="183" spans="1:8" s="14" customFormat="1">
      <c r="A183" s="102" t="s">
        <v>207</v>
      </c>
      <c r="B183" s="82" t="s">
        <v>172</v>
      </c>
      <c r="C183" s="24">
        <f t="shared" si="14"/>
        <v>0</v>
      </c>
      <c r="D183" s="20"/>
      <c r="E183" s="13"/>
      <c r="F183" s="16"/>
      <c r="H183" s="14">
        <f t="shared" si="11"/>
        <v>0</v>
      </c>
    </row>
    <row r="184" spans="1:8" s="14" customFormat="1">
      <c r="A184" s="127" t="s">
        <v>208</v>
      </c>
      <c r="B184" s="128" t="s">
        <v>173</v>
      </c>
      <c r="C184" s="24">
        <f t="shared" si="14"/>
        <v>0</v>
      </c>
      <c r="D184" s="807"/>
      <c r="E184" s="808"/>
      <c r="F184" s="809"/>
      <c r="H184" s="140">
        <f t="shared" si="11"/>
        <v>0</v>
      </c>
    </row>
    <row r="185" spans="1:8" s="14" customFormat="1">
      <c r="A185" s="102" t="s">
        <v>209</v>
      </c>
      <c r="B185" s="82" t="s">
        <v>178</v>
      </c>
      <c r="C185" s="24">
        <f t="shared" si="14"/>
        <v>0</v>
      </c>
      <c r="D185" s="807"/>
      <c r="E185" s="808"/>
      <c r="F185" s="809"/>
      <c r="H185" s="14">
        <f t="shared" si="11"/>
        <v>0</v>
      </c>
    </row>
    <row r="186" spans="1:8" s="14" customFormat="1">
      <c r="A186" s="102" t="s">
        <v>210</v>
      </c>
      <c r="B186" s="82" t="s">
        <v>174</v>
      </c>
      <c r="C186" s="24">
        <f t="shared" si="14"/>
        <v>0</v>
      </c>
      <c r="D186" s="807"/>
      <c r="E186" s="808"/>
      <c r="F186" s="809"/>
      <c r="H186" s="14">
        <f t="shared" si="11"/>
        <v>0</v>
      </c>
    </row>
    <row r="187" spans="1:8" s="14" customFormat="1">
      <c r="A187" s="102" t="s">
        <v>211</v>
      </c>
      <c r="B187" s="82" t="s">
        <v>175</v>
      </c>
      <c r="C187" s="24">
        <f t="shared" si="14"/>
        <v>0</v>
      </c>
      <c r="D187" s="807"/>
      <c r="E187" s="808"/>
      <c r="F187" s="809"/>
      <c r="H187" s="14">
        <f t="shared" si="11"/>
        <v>0</v>
      </c>
    </row>
    <row r="188" spans="1:8" s="14" customFormat="1">
      <c r="A188" s="102" t="s">
        <v>935</v>
      </c>
      <c r="B188" s="82" t="s">
        <v>937</v>
      </c>
      <c r="C188" s="24">
        <f>+D188+E188+F188</f>
        <v>0</v>
      </c>
      <c r="D188" s="807"/>
      <c r="E188" s="808"/>
      <c r="F188" s="809"/>
      <c r="H188" s="14">
        <f t="shared" si="11"/>
        <v>0</v>
      </c>
    </row>
    <row r="189" spans="1:8">
      <c r="A189" s="101" t="s">
        <v>76</v>
      </c>
      <c r="B189" s="83" t="s">
        <v>176</v>
      </c>
      <c r="C189" s="23">
        <f t="shared" si="14"/>
        <v>0</v>
      </c>
      <c r="D189" s="1329"/>
      <c r="E189" s="1330"/>
      <c r="F189" s="1331"/>
      <c r="H189" s="4">
        <f t="shared" si="11"/>
        <v>0</v>
      </c>
    </row>
    <row r="190" spans="1:8">
      <c r="A190" s="94" t="s">
        <v>77</v>
      </c>
      <c r="B190" s="84" t="s">
        <v>177</v>
      </c>
      <c r="C190" s="26">
        <f t="shared" si="14"/>
        <v>0</v>
      </c>
      <c r="D190" s="1332"/>
      <c r="E190" s="1333"/>
      <c r="F190" s="1334"/>
      <c r="H190" s="4">
        <f t="shared" si="11"/>
        <v>0</v>
      </c>
    </row>
    <row r="191" spans="1:8" ht="12.75" thickBot="1">
      <c r="A191" s="94" t="s">
        <v>940</v>
      </c>
      <c r="B191" s="84" t="s">
        <v>938</v>
      </c>
      <c r="C191" s="26">
        <f>+D191+E191+F191</f>
        <v>0</v>
      </c>
      <c r="D191" s="1332"/>
      <c r="E191" s="1333"/>
      <c r="F191" s="1334"/>
      <c r="H191" s="4">
        <f t="shared" si="11"/>
        <v>0</v>
      </c>
    </row>
    <row r="192" spans="1:8" s="3" customFormat="1" ht="12.75" thickBot="1">
      <c r="A192" s="99" t="s">
        <v>44</v>
      </c>
      <c r="B192" s="85" t="s">
        <v>315</v>
      </c>
      <c r="C192" s="44">
        <f>+C193</f>
        <v>0</v>
      </c>
      <c r="D192" s="131">
        <f>+D193</f>
        <v>0</v>
      </c>
      <c r="E192" s="132">
        <f>+E193</f>
        <v>0</v>
      </c>
      <c r="F192" s="133">
        <f>+F193</f>
        <v>0</v>
      </c>
      <c r="H192" s="3">
        <f t="shared" si="11"/>
        <v>0</v>
      </c>
    </row>
    <row r="193" spans="1:8" s="3" customFormat="1" ht="12.75" thickBot="1">
      <c r="A193" s="99" t="s">
        <v>43</v>
      </c>
      <c r="B193" s="80" t="s">
        <v>936</v>
      </c>
      <c r="C193" s="44">
        <f>+C194+C204+C205+C206</f>
        <v>0</v>
      </c>
      <c r="D193" s="33">
        <f>+D194+D204+D205+D206</f>
        <v>0</v>
      </c>
      <c r="E193" s="34">
        <f>+E194+E204+E205+E206</f>
        <v>0</v>
      </c>
      <c r="F193" s="35">
        <f>+F194+F204+F205+F206</f>
        <v>0</v>
      </c>
      <c r="H193" s="3">
        <f t="shared" si="11"/>
        <v>0</v>
      </c>
    </row>
    <row r="194" spans="1:8">
      <c r="A194" s="100" t="s">
        <v>78</v>
      </c>
      <c r="B194" s="81" t="s">
        <v>971</v>
      </c>
      <c r="C194" s="36">
        <f>+C195+C196+C197+C198+C199+C200+C201+C202+C203</f>
        <v>0</v>
      </c>
      <c r="D194" s="41">
        <f>+D195+D196+D197+D198+D199+D200+D201+D202+D203</f>
        <v>0</v>
      </c>
      <c r="E194" s="11">
        <f>+E195+E196+E197+E198+E199+E200+E201+E202+E203</f>
        <v>0</v>
      </c>
      <c r="F194" s="42">
        <f>+F195+F196+F197+F198+F199+F200+F201+F202+F203</f>
        <v>0</v>
      </c>
      <c r="H194" s="4">
        <f t="shared" si="11"/>
        <v>0</v>
      </c>
    </row>
    <row r="195" spans="1:8" s="14" customFormat="1">
      <c r="A195" s="102" t="s">
        <v>212</v>
      </c>
      <c r="B195" s="82" t="s">
        <v>169</v>
      </c>
      <c r="C195" s="24">
        <f t="shared" ref="C195:C205" si="15">+D195+E195+F195</f>
        <v>0</v>
      </c>
      <c r="D195" s="807"/>
      <c r="E195" s="808"/>
      <c r="F195" s="809"/>
      <c r="H195" s="14">
        <f t="shared" si="11"/>
        <v>0</v>
      </c>
    </row>
    <row r="196" spans="1:8" s="14" customFormat="1">
      <c r="A196" s="102" t="s">
        <v>213</v>
      </c>
      <c r="B196" s="82" t="s">
        <v>170</v>
      </c>
      <c r="C196" s="24">
        <f t="shared" si="15"/>
        <v>0</v>
      </c>
      <c r="D196" s="807"/>
      <c r="E196" s="808"/>
      <c r="F196" s="809"/>
      <c r="H196" s="14">
        <f t="shared" si="11"/>
        <v>0</v>
      </c>
    </row>
    <row r="197" spans="1:8" s="14" customFormat="1">
      <c r="A197" s="102" t="s">
        <v>214</v>
      </c>
      <c r="B197" s="82" t="s">
        <v>171</v>
      </c>
      <c r="C197" s="24">
        <f t="shared" si="15"/>
        <v>0</v>
      </c>
      <c r="D197" s="807"/>
      <c r="E197" s="808"/>
      <c r="F197" s="809"/>
      <c r="H197" s="14">
        <f t="shared" si="11"/>
        <v>0</v>
      </c>
    </row>
    <row r="198" spans="1:8" s="14" customFormat="1">
      <c r="A198" s="102" t="s">
        <v>215</v>
      </c>
      <c r="B198" s="82" t="s">
        <v>172</v>
      </c>
      <c r="C198" s="24">
        <f t="shared" si="15"/>
        <v>0</v>
      </c>
      <c r="D198" s="807"/>
      <c r="E198" s="808"/>
      <c r="F198" s="809"/>
      <c r="H198" s="14">
        <f t="shared" si="11"/>
        <v>0</v>
      </c>
    </row>
    <row r="199" spans="1:8" s="14" customFormat="1">
      <c r="A199" s="127" t="s">
        <v>216</v>
      </c>
      <c r="B199" s="128" t="s">
        <v>173</v>
      </c>
      <c r="C199" s="24">
        <f t="shared" si="15"/>
        <v>0</v>
      </c>
      <c r="D199" s="807"/>
      <c r="E199" s="808"/>
      <c r="F199" s="809"/>
      <c r="H199" s="140">
        <f t="shared" si="11"/>
        <v>0</v>
      </c>
    </row>
    <row r="200" spans="1:8" s="14" customFormat="1">
      <c r="A200" s="102" t="s">
        <v>217</v>
      </c>
      <c r="B200" s="82" t="s">
        <v>178</v>
      </c>
      <c r="C200" s="24">
        <f t="shared" si="15"/>
        <v>0</v>
      </c>
      <c r="D200" s="807"/>
      <c r="E200" s="808"/>
      <c r="F200" s="809"/>
      <c r="H200" s="14">
        <f t="shared" si="11"/>
        <v>0</v>
      </c>
    </row>
    <row r="201" spans="1:8" s="14" customFormat="1">
      <c r="A201" s="102" t="s">
        <v>218</v>
      </c>
      <c r="B201" s="82" t="s">
        <v>174</v>
      </c>
      <c r="C201" s="24">
        <f t="shared" si="15"/>
        <v>0</v>
      </c>
      <c r="D201" s="20"/>
      <c r="E201" s="13"/>
      <c r="F201" s="16"/>
      <c r="H201" s="14">
        <f t="shared" si="11"/>
        <v>0</v>
      </c>
    </row>
    <row r="202" spans="1:8" s="14" customFormat="1">
      <c r="A202" s="102" t="s">
        <v>219</v>
      </c>
      <c r="B202" s="82" t="s">
        <v>175</v>
      </c>
      <c r="C202" s="24">
        <f t="shared" si="15"/>
        <v>0</v>
      </c>
      <c r="D202" s="20"/>
      <c r="E202" s="13"/>
      <c r="F202" s="16"/>
      <c r="H202" s="14">
        <f t="shared" si="11"/>
        <v>0</v>
      </c>
    </row>
    <row r="203" spans="1:8" s="14" customFormat="1">
      <c r="A203" s="102" t="s">
        <v>935</v>
      </c>
      <c r="B203" s="82" t="s">
        <v>937</v>
      </c>
      <c r="C203" s="24">
        <f>+D203+E203+F203</f>
        <v>0</v>
      </c>
      <c r="D203" s="20"/>
      <c r="E203" s="13"/>
      <c r="F203" s="16"/>
      <c r="H203" s="14">
        <f t="shared" ref="H203:H242" si="16">+C203-D203-E203-F203</f>
        <v>0</v>
      </c>
    </row>
    <row r="204" spans="1:8">
      <c r="A204" s="101" t="s">
        <v>79</v>
      </c>
      <c r="B204" s="83" t="s">
        <v>176</v>
      </c>
      <c r="C204" s="23">
        <f t="shared" si="15"/>
        <v>0</v>
      </c>
      <c r="D204" s="21"/>
      <c r="E204" s="12"/>
      <c r="F204" s="17"/>
      <c r="H204" s="4">
        <f t="shared" si="16"/>
        <v>0</v>
      </c>
    </row>
    <row r="205" spans="1:8">
      <c r="A205" s="94" t="s">
        <v>220</v>
      </c>
      <c r="B205" s="84" t="s">
        <v>177</v>
      </c>
      <c r="C205" s="26">
        <f t="shared" si="15"/>
        <v>0</v>
      </c>
      <c r="D205" s="27"/>
      <c r="E205" s="28"/>
      <c r="F205" s="29"/>
      <c r="H205" s="4">
        <f t="shared" si="16"/>
        <v>0</v>
      </c>
    </row>
    <row r="206" spans="1:8" ht="12.75" thickBot="1">
      <c r="A206" s="94" t="s">
        <v>939</v>
      </c>
      <c r="B206" s="84" t="s">
        <v>938</v>
      </c>
      <c r="C206" s="26">
        <f>+D206+E206+F206</f>
        <v>0</v>
      </c>
      <c r="D206" s="27"/>
      <c r="E206" s="28"/>
      <c r="F206" s="29"/>
      <c r="H206" s="4">
        <f t="shared" si="16"/>
        <v>0</v>
      </c>
    </row>
    <row r="207" spans="1:8" s="3" customFormat="1" ht="12.75" thickBot="1">
      <c r="A207" s="99" t="s">
        <v>40</v>
      </c>
      <c r="B207" s="85" t="s">
        <v>316</v>
      </c>
      <c r="C207" s="44">
        <f>+C177+C192</f>
        <v>0</v>
      </c>
      <c r="D207" s="33">
        <f>+D177+D192</f>
        <v>0</v>
      </c>
      <c r="E207" s="34">
        <f>+E177+E192</f>
        <v>0</v>
      </c>
      <c r="F207" s="35">
        <f>+F177+F192</f>
        <v>0</v>
      </c>
      <c r="H207" s="3">
        <f t="shared" si="16"/>
        <v>0</v>
      </c>
    </row>
    <row r="208" spans="1:8" s="3" customFormat="1" ht="12.75" thickBot="1">
      <c r="A208" s="103" t="s">
        <v>39</v>
      </c>
      <c r="B208" s="87" t="s">
        <v>334</v>
      </c>
      <c r="C208" s="45">
        <f>+C176+C207</f>
        <v>20793</v>
      </c>
      <c r="D208" s="30">
        <f>+D176+D207</f>
        <v>0</v>
      </c>
      <c r="E208" s="31">
        <f>+E176+E207</f>
        <v>20793</v>
      </c>
      <c r="F208" s="32">
        <f>+F176+F207</f>
        <v>0</v>
      </c>
      <c r="H208" s="3">
        <f t="shared" si="16"/>
        <v>0</v>
      </c>
    </row>
    <row r="211" spans="1:30" s="1" customFormat="1" ht="15.75">
      <c r="A211" s="1211" t="s">
        <v>89</v>
      </c>
      <c r="B211" s="1211"/>
      <c r="C211" s="1211"/>
      <c r="D211" s="1211"/>
      <c r="E211" s="1211"/>
      <c r="F211" s="121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</row>
    <row r="212" spans="1:30" s="46" customFormat="1" ht="12.75" thickBot="1">
      <c r="A212" s="48" t="s">
        <v>281</v>
      </c>
      <c r="F212" s="47" t="s">
        <v>280</v>
      </c>
    </row>
    <row r="213" spans="1:30" s="3" customFormat="1" ht="12.75" thickBot="1">
      <c r="A213" s="99" t="s">
        <v>4</v>
      </c>
      <c r="B213" s="85" t="s">
        <v>317</v>
      </c>
      <c r="C213" s="44">
        <f>+C214+C215</f>
        <v>0</v>
      </c>
      <c r="D213" s="33">
        <f>+D214+D215</f>
        <v>0</v>
      </c>
      <c r="E213" s="34">
        <f>+E214+E215</f>
        <v>0</v>
      </c>
      <c r="F213" s="35">
        <f>+F214+F215</f>
        <v>0</v>
      </c>
      <c r="H213" s="3">
        <f t="shared" si="16"/>
        <v>0</v>
      </c>
    </row>
    <row r="214" spans="1:30">
      <c r="A214" s="100" t="s">
        <v>81</v>
      </c>
      <c r="B214" s="88" t="s">
        <v>318</v>
      </c>
      <c r="C214" s="36">
        <f>+C10-C109</f>
        <v>1000</v>
      </c>
      <c r="D214" s="41">
        <f>+D10-D109</f>
        <v>0</v>
      </c>
      <c r="E214" s="11">
        <f>+E10-E109</f>
        <v>1000</v>
      </c>
      <c r="F214" s="42">
        <f>+F10-F109</f>
        <v>0</v>
      </c>
      <c r="H214" s="4">
        <f t="shared" si="16"/>
        <v>0</v>
      </c>
    </row>
    <row r="215" spans="1:30" ht="12.75" thickBot="1">
      <c r="A215" s="104" t="s">
        <v>82</v>
      </c>
      <c r="B215" s="89" t="s">
        <v>319</v>
      </c>
      <c r="C215" s="25">
        <f>+C50-C149</f>
        <v>-1000</v>
      </c>
      <c r="D215" s="51">
        <f>+D50-D149</f>
        <v>0</v>
      </c>
      <c r="E215" s="18">
        <f>+E50-E149</f>
        <v>-1000</v>
      </c>
      <c r="F215" s="50">
        <f>+F50-F149</f>
        <v>0</v>
      </c>
      <c r="H215" s="4">
        <f t="shared" si="16"/>
        <v>0</v>
      </c>
    </row>
    <row r="218" spans="1:30" s="1" customFormat="1" ht="15.75">
      <c r="A218" s="1211" t="s">
        <v>90</v>
      </c>
      <c r="B218" s="1211"/>
      <c r="C218" s="1211"/>
      <c r="D218" s="1211"/>
      <c r="E218" s="1211"/>
      <c r="F218" s="121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</row>
    <row r="219" spans="1:30" s="46" customFormat="1" ht="12.75" thickBot="1">
      <c r="A219" s="48" t="s">
        <v>282</v>
      </c>
      <c r="F219" s="47" t="s">
        <v>280</v>
      </c>
    </row>
    <row r="220" spans="1:30" s="3" customFormat="1" ht="12.75" thickBot="1">
      <c r="A220" s="99" t="s">
        <v>4</v>
      </c>
      <c r="B220" s="85" t="s">
        <v>320</v>
      </c>
      <c r="C220" s="44">
        <f>+C221+C228</f>
        <v>0</v>
      </c>
      <c r="D220" s="33">
        <f>+D221+D228</f>
        <v>0</v>
      </c>
      <c r="E220" s="34">
        <f>+E221+E228</f>
        <v>0</v>
      </c>
      <c r="F220" s="35">
        <f>+F221+F228</f>
        <v>0</v>
      </c>
      <c r="H220" s="3">
        <f t="shared" si="16"/>
        <v>0</v>
      </c>
    </row>
    <row r="221" spans="1:30" s="3" customFormat="1" ht="12.75" thickBot="1">
      <c r="A221" s="99" t="s">
        <v>5</v>
      </c>
      <c r="B221" s="80" t="s">
        <v>321</v>
      </c>
      <c r="C221" s="44">
        <f>+C222-C225</f>
        <v>-1000</v>
      </c>
      <c r="D221" s="33">
        <f>+D222-D225</f>
        <v>0</v>
      </c>
      <c r="E221" s="34">
        <f>+E222-E225</f>
        <v>-1000</v>
      </c>
      <c r="F221" s="35">
        <f>+F222-F225</f>
        <v>0</v>
      </c>
      <c r="H221" s="3">
        <f t="shared" si="16"/>
        <v>0</v>
      </c>
    </row>
    <row r="222" spans="1:30">
      <c r="A222" s="100" t="s">
        <v>54</v>
      </c>
      <c r="B222" s="81" t="s">
        <v>322</v>
      </c>
      <c r="C222" s="36">
        <f>+C223+C224</f>
        <v>-1000</v>
      </c>
      <c r="D222" s="41">
        <f>+D223+D224</f>
        <v>0</v>
      </c>
      <c r="E222" s="11">
        <f>+E223+E224</f>
        <v>-1000</v>
      </c>
      <c r="F222" s="42">
        <f>+F223+F224</f>
        <v>0</v>
      </c>
      <c r="H222" s="4">
        <f t="shared" si="16"/>
        <v>0</v>
      </c>
    </row>
    <row r="223" spans="1:30" s="14" customFormat="1">
      <c r="A223" s="102" t="s">
        <v>189</v>
      </c>
      <c r="B223" s="82" t="s">
        <v>284</v>
      </c>
      <c r="C223" s="24">
        <f>+C76+C80</f>
        <v>0</v>
      </c>
      <c r="D223" s="20">
        <f>+D76+D80</f>
        <v>0</v>
      </c>
      <c r="E223" s="13">
        <f>+E76+E80</f>
        <v>0</v>
      </c>
      <c r="F223" s="16">
        <f>+F76+F80</f>
        <v>0</v>
      </c>
      <c r="H223" s="14">
        <f t="shared" si="16"/>
        <v>0</v>
      </c>
    </row>
    <row r="224" spans="1:30" s="14" customFormat="1">
      <c r="A224" s="102" t="s">
        <v>190</v>
      </c>
      <c r="B224" s="82" t="s">
        <v>285</v>
      </c>
      <c r="C224" s="24">
        <f>+C74+C75+C77+C78+C79+C81</f>
        <v>-1000</v>
      </c>
      <c r="D224" s="20">
        <f>+D74+D75+D77+D78+D79+D81</f>
        <v>0</v>
      </c>
      <c r="E224" s="13">
        <f>+E74+E75+E77+E78+E79+E81</f>
        <v>-1000</v>
      </c>
      <c r="F224" s="16">
        <f>+F74+F75+F77+F78+F79+F81</f>
        <v>0</v>
      </c>
      <c r="H224" s="14">
        <f t="shared" si="16"/>
        <v>0</v>
      </c>
    </row>
    <row r="225" spans="1:30">
      <c r="A225" s="101" t="s">
        <v>55</v>
      </c>
      <c r="B225" s="83" t="s">
        <v>323</v>
      </c>
      <c r="C225" s="23">
        <f>+C227</f>
        <v>0</v>
      </c>
      <c r="D225" s="21">
        <f>+D227</f>
        <v>0</v>
      </c>
      <c r="E225" s="12">
        <f>+E227</f>
        <v>0</v>
      </c>
      <c r="F225" s="17">
        <f>+F227</f>
        <v>0</v>
      </c>
      <c r="H225" s="4">
        <f t="shared" si="16"/>
        <v>0</v>
      </c>
    </row>
    <row r="226" spans="1:30" s="14" customFormat="1">
      <c r="A226" s="102" t="s">
        <v>56</v>
      </c>
      <c r="B226" s="82" t="s">
        <v>286</v>
      </c>
      <c r="C226" s="24">
        <f>+C185</f>
        <v>0</v>
      </c>
      <c r="D226" s="20">
        <f>+D185</f>
        <v>0</v>
      </c>
      <c r="E226" s="13">
        <f>+E185</f>
        <v>0</v>
      </c>
      <c r="F226" s="16">
        <f>+F185</f>
        <v>0</v>
      </c>
      <c r="H226" s="14">
        <f t="shared" si="16"/>
        <v>0</v>
      </c>
    </row>
    <row r="227" spans="1:30" s="14" customFormat="1" ht="12.75" thickBot="1">
      <c r="A227" s="105" t="s">
        <v>57</v>
      </c>
      <c r="B227" s="90" t="s">
        <v>287</v>
      </c>
      <c r="C227" s="58">
        <f>+C180+C181+C182+C183+C184+C186+C187</f>
        <v>0</v>
      </c>
      <c r="D227" s="56">
        <f>+D180+D181+D182+D183+D184+D186+D187</f>
        <v>0</v>
      </c>
      <c r="E227" s="54">
        <f>+E180+E181+E182+E183+E184+E186+E187</f>
        <v>0</v>
      </c>
      <c r="F227" s="55">
        <f>+F180+F181+F182+F183+F184+F186+F187</f>
        <v>0</v>
      </c>
      <c r="H227" s="14">
        <f t="shared" si="16"/>
        <v>0</v>
      </c>
    </row>
    <row r="228" spans="1:30" s="3" customFormat="1" ht="12.75" thickBot="1">
      <c r="A228" s="99" t="s">
        <v>6</v>
      </c>
      <c r="B228" s="80" t="s">
        <v>324</v>
      </c>
      <c r="C228" s="44">
        <f>+C229-C232</f>
        <v>1000</v>
      </c>
      <c r="D228" s="33">
        <f>+D229-D232</f>
        <v>0</v>
      </c>
      <c r="E228" s="34">
        <f>+E229-E232</f>
        <v>1000</v>
      </c>
      <c r="F228" s="35">
        <f>+F229-F232</f>
        <v>0</v>
      </c>
      <c r="H228" s="3">
        <f t="shared" si="16"/>
        <v>0</v>
      </c>
    </row>
    <row r="229" spans="1:30">
      <c r="A229" s="100" t="s">
        <v>58</v>
      </c>
      <c r="B229" s="81" t="s">
        <v>325</v>
      </c>
      <c r="C229" s="36">
        <f>+C230+C231</f>
        <v>1000</v>
      </c>
      <c r="D229" s="41">
        <f>+D230+D231</f>
        <v>0</v>
      </c>
      <c r="E229" s="11">
        <f>+E230+E231</f>
        <v>1000</v>
      </c>
      <c r="F229" s="42">
        <f>+F230+F231</f>
        <v>0</v>
      </c>
      <c r="H229" s="4">
        <f t="shared" si="16"/>
        <v>0</v>
      </c>
    </row>
    <row r="230" spans="1:30" s="14" customFormat="1">
      <c r="A230" s="102" t="s">
        <v>292</v>
      </c>
      <c r="B230" s="82" t="s">
        <v>290</v>
      </c>
      <c r="C230" s="24">
        <f>+C91+C95</f>
        <v>0</v>
      </c>
      <c r="D230" s="20">
        <f>+D91+D95</f>
        <v>0</v>
      </c>
      <c r="E230" s="13">
        <f>+E91+E95</f>
        <v>0</v>
      </c>
      <c r="F230" s="16">
        <f>+F91+F95</f>
        <v>0</v>
      </c>
      <c r="H230" s="14">
        <f t="shared" si="16"/>
        <v>0</v>
      </c>
    </row>
    <row r="231" spans="1:30" s="14" customFormat="1">
      <c r="A231" s="102" t="s">
        <v>293</v>
      </c>
      <c r="B231" s="82" t="s">
        <v>291</v>
      </c>
      <c r="C231" s="24">
        <f>+C89+C90+C92+C93+C94+C96</f>
        <v>1000</v>
      </c>
      <c r="D231" s="20">
        <f>+D89+D90+D92+D93+D94+D96</f>
        <v>0</v>
      </c>
      <c r="E231" s="13">
        <f>+E89+E90+E92+E93+E94+E96</f>
        <v>1000</v>
      </c>
      <c r="F231" s="16">
        <f>+F89+F90+F92+F93+F94+F96</f>
        <v>0</v>
      </c>
      <c r="H231" s="14">
        <f t="shared" si="16"/>
        <v>0</v>
      </c>
    </row>
    <row r="232" spans="1:30">
      <c r="A232" s="101" t="s">
        <v>59</v>
      </c>
      <c r="B232" s="83" t="s">
        <v>326</v>
      </c>
      <c r="C232" s="23">
        <f>+C233+C234</f>
        <v>0</v>
      </c>
      <c r="D232" s="21">
        <f>+D233+D234</f>
        <v>0</v>
      </c>
      <c r="E232" s="12">
        <f>+E233+E234</f>
        <v>0</v>
      </c>
      <c r="F232" s="17">
        <f>+F233+F234</f>
        <v>0</v>
      </c>
      <c r="H232" s="4">
        <f t="shared" si="16"/>
        <v>0</v>
      </c>
    </row>
    <row r="233" spans="1:30" s="14" customFormat="1">
      <c r="A233" s="102" t="s">
        <v>294</v>
      </c>
      <c r="B233" s="82" t="s">
        <v>288</v>
      </c>
      <c r="C233" s="24">
        <f>+C200</f>
        <v>0</v>
      </c>
      <c r="D233" s="20">
        <f>+D200</f>
        <v>0</v>
      </c>
      <c r="E233" s="13">
        <f>+E200</f>
        <v>0</v>
      </c>
      <c r="F233" s="16">
        <f>+F200</f>
        <v>0</v>
      </c>
      <c r="H233" s="14">
        <f t="shared" si="16"/>
        <v>0</v>
      </c>
    </row>
    <row r="234" spans="1:30" s="14" customFormat="1" ht="12.75" thickBot="1">
      <c r="A234" s="106" t="s">
        <v>295</v>
      </c>
      <c r="B234" s="91" t="s">
        <v>289</v>
      </c>
      <c r="C234" s="59">
        <f>+C195+C196+C197+C198+C199+C201+C202</f>
        <v>0</v>
      </c>
      <c r="D234" s="57">
        <f>+D195+D196+D197+D198+D199+D201+D202</f>
        <v>0</v>
      </c>
      <c r="E234" s="52">
        <f>+E195+E196+E197+E198+E199+E201+E202</f>
        <v>0</v>
      </c>
      <c r="F234" s="53">
        <f>+F195+F196+F197+F198+F199+F201+F202</f>
        <v>0</v>
      </c>
      <c r="H234" s="14">
        <f t="shared" si="16"/>
        <v>0</v>
      </c>
    </row>
    <row r="237" spans="1:30" s="1" customFormat="1" ht="15.75">
      <c r="A237" s="1211" t="s">
        <v>1460</v>
      </c>
      <c r="B237" s="1211"/>
      <c r="C237" s="1211"/>
      <c r="D237" s="1211"/>
      <c r="E237" s="1211"/>
      <c r="F237" s="121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</row>
    <row r="238" spans="1:30" s="46" customFormat="1" ht="12.75" thickBot="1">
      <c r="A238" s="48" t="s">
        <v>283</v>
      </c>
      <c r="F238" s="47"/>
    </row>
    <row r="239" spans="1:30" s="3" customFormat="1">
      <c r="A239" s="107" t="s">
        <v>4</v>
      </c>
      <c r="B239" s="92" t="s">
        <v>91</v>
      </c>
      <c r="C239" s="67">
        <f>+D239+E239+F239</f>
        <v>3</v>
      </c>
      <c r="D239" s="68"/>
      <c r="E239" s="69">
        <v>3</v>
      </c>
      <c r="F239" s="70"/>
      <c r="H239" s="3">
        <f t="shared" si="16"/>
        <v>0</v>
      </c>
    </row>
    <row r="240" spans="1:30" s="14" customFormat="1">
      <c r="A240" s="105" t="s">
        <v>350</v>
      </c>
      <c r="B240" s="116" t="s">
        <v>351</v>
      </c>
      <c r="C240" s="117">
        <f>+D240+E240+F240</f>
        <v>0</v>
      </c>
      <c r="D240" s="118"/>
      <c r="E240" s="119"/>
      <c r="F240" s="120"/>
      <c r="H240" s="14">
        <f t="shared" si="16"/>
        <v>0</v>
      </c>
    </row>
    <row r="241" spans="1:8" s="3" customFormat="1" ht="12.75" thickBot="1">
      <c r="A241" s="108" t="s">
        <v>5</v>
      </c>
      <c r="B241" s="93" t="s">
        <v>92</v>
      </c>
      <c r="C241" s="71">
        <f>+D241+E241+F241</f>
        <v>0</v>
      </c>
      <c r="D241" s="72"/>
      <c r="E241" s="73"/>
      <c r="F241" s="74"/>
      <c r="H241" s="3">
        <f t="shared" si="16"/>
        <v>0</v>
      </c>
    </row>
    <row r="242" spans="1:8" s="3" customFormat="1" ht="12.75" thickBot="1">
      <c r="A242" s="99" t="s">
        <v>6</v>
      </c>
      <c r="B242" s="85" t="s">
        <v>329</v>
      </c>
      <c r="C242" s="75">
        <f>+C239+C241</f>
        <v>3</v>
      </c>
      <c r="D242" s="76">
        <f>+D239+D241</f>
        <v>0</v>
      </c>
      <c r="E242" s="77">
        <f>+E239+E241</f>
        <v>3</v>
      </c>
      <c r="F242" s="78">
        <f>+F239+F241</f>
        <v>0</v>
      </c>
      <c r="H242" s="3">
        <f t="shared" si="16"/>
        <v>0</v>
      </c>
    </row>
  </sheetData>
  <mergeCells count="9">
    <mergeCell ref="A218:F218"/>
    <mergeCell ref="A237:F237"/>
    <mergeCell ref="C9:F9"/>
    <mergeCell ref="C108:F108"/>
    <mergeCell ref="A3:F3"/>
    <mergeCell ref="A4:F4"/>
    <mergeCell ref="A6:F6"/>
    <mergeCell ref="A105:F105"/>
    <mergeCell ref="A211:F211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44" fitToHeight="2" orientation="portrait" r:id="rId1"/>
  <headerFooter>
    <oddHeader>&amp;C 1.5. melléklet - &amp;P. oldal</oddHeader>
  </headerFooter>
  <rowBreaks count="1" manualBreakCount="1">
    <brk id="10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F0"/>
  </sheetPr>
  <dimension ref="A1:AD242"/>
  <sheetViews>
    <sheetView zoomScaleNormal="100" workbookViewId="0"/>
  </sheetViews>
  <sheetFormatPr defaultColWidth="9.140625" defaultRowHeight="12"/>
  <cols>
    <col min="1" max="1" width="6.5703125" style="4" customWidth="1"/>
    <col min="2" max="2" width="109.5703125" style="4" bestFit="1" customWidth="1"/>
    <col min="3" max="6" width="9.28515625" style="4" customWidth="1"/>
    <col min="7" max="7" width="9.140625" style="4"/>
    <col min="8" max="8" width="9.140625" style="4" hidden="1" customWidth="1"/>
    <col min="9" max="16384" width="9.140625" style="4"/>
  </cols>
  <sheetData>
    <row r="1" spans="1:8" s="63" customFormat="1" ht="15.75">
      <c r="F1" s="64" t="s">
        <v>1072</v>
      </c>
    </row>
    <row r="2" spans="1:8" s="63" customFormat="1" ht="15.75"/>
    <row r="3" spans="1:8" s="65" customFormat="1" ht="15.75">
      <c r="A3" s="1210" t="s">
        <v>1071</v>
      </c>
      <c r="B3" s="1210"/>
      <c r="C3" s="1210"/>
      <c r="D3" s="1210"/>
      <c r="E3" s="1210"/>
      <c r="F3" s="1210"/>
    </row>
    <row r="4" spans="1:8" s="65" customFormat="1" ht="15.75">
      <c r="A4" s="1210" t="s">
        <v>1444</v>
      </c>
      <c r="B4" s="1210"/>
      <c r="C4" s="1210"/>
      <c r="D4" s="1210"/>
      <c r="E4" s="1210"/>
      <c r="F4" s="1210"/>
    </row>
    <row r="5" spans="1:8" s="63" customFormat="1" ht="15.75"/>
    <row r="6" spans="1:8" s="65" customFormat="1" ht="15.75">
      <c r="A6" s="1210" t="s">
        <v>48</v>
      </c>
      <c r="B6" s="1210"/>
      <c r="C6" s="1210"/>
      <c r="D6" s="1210"/>
      <c r="E6" s="1210"/>
      <c r="F6" s="1210"/>
    </row>
    <row r="7" spans="1:8" s="46" customFormat="1" ht="12.75" thickBot="1">
      <c r="A7" s="48" t="s">
        <v>279</v>
      </c>
      <c r="F7" s="47" t="s">
        <v>280</v>
      </c>
    </row>
    <row r="8" spans="1:8" s="9" customFormat="1" ht="54" customHeight="1" thickBot="1">
      <c r="A8" s="95" t="s">
        <v>17</v>
      </c>
      <c r="B8" s="109" t="s">
        <v>327</v>
      </c>
      <c r="C8" s="5" t="s">
        <v>1442</v>
      </c>
      <c r="D8" s="6" t="s">
        <v>51</v>
      </c>
      <c r="E8" s="7" t="s">
        <v>52</v>
      </c>
      <c r="F8" s="8" t="s">
        <v>53</v>
      </c>
    </row>
    <row r="9" spans="1:8" s="3" customFormat="1" ht="12.75" thickBot="1">
      <c r="A9" s="99" t="s">
        <v>252</v>
      </c>
      <c r="B9" s="110" t="s">
        <v>253</v>
      </c>
      <c r="C9" s="1212" t="s">
        <v>254</v>
      </c>
      <c r="D9" s="1213"/>
      <c r="E9" s="1213"/>
      <c r="F9" s="1214"/>
    </row>
    <row r="10" spans="1:8" s="3" customFormat="1" ht="12.75" thickBot="1">
      <c r="A10" s="111" t="s">
        <v>4</v>
      </c>
      <c r="B10" s="79" t="s">
        <v>296</v>
      </c>
      <c r="C10" s="43">
        <f>+C11+C25+C32+C44</f>
        <v>0</v>
      </c>
      <c r="D10" s="38">
        <f>+D11+D25+D32+D44</f>
        <v>0</v>
      </c>
      <c r="E10" s="39">
        <f>+E11+E25+E32+E44</f>
        <v>0</v>
      </c>
      <c r="F10" s="40">
        <f>+F11+F25+F32+F44</f>
        <v>0</v>
      </c>
      <c r="H10" s="3">
        <f>+C10-D10-E10-F10</f>
        <v>0</v>
      </c>
    </row>
    <row r="11" spans="1:8" s="3" customFormat="1" ht="12.75" customHeight="1" thickBot="1">
      <c r="A11" s="99" t="s">
        <v>5</v>
      </c>
      <c r="B11" s="80" t="s">
        <v>297</v>
      </c>
      <c r="C11" s="44">
        <f>+C12+C19+C20+C21+C22+C23</f>
        <v>0</v>
      </c>
      <c r="D11" s="33">
        <f>+D12+D19+D20+D21+D22+D23</f>
        <v>0</v>
      </c>
      <c r="E11" s="34">
        <f>+E12+E19+E20+E21+E22+E23</f>
        <v>0</v>
      </c>
      <c r="F11" s="35">
        <f>+F12+F19+F20+F21+F22+F23</f>
        <v>0</v>
      </c>
      <c r="H11" s="3">
        <f t="shared" ref="H11:H74" si="0">+C11-D11-E11-F11</f>
        <v>0</v>
      </c>
    </row>
    <row r="12" spans="1:8" s="3" customFormat="1">
      <c r="A12" s="100" t="s">
        <v>54</v>
      </c>
      <c r="B12" s="81" t="s">
        <v>298</v>
      </c>
      <c r="C12" s="36">
        <f>+C13+C14+C15+C16+C17+C18</f>
        <v>0</v>
      </c>
      <c r="D12" s="19">
        <f>+D13+D14+D15+D16+D17+D18</f>
        <v>0</v>
      </c>
      <c r="E12" s="10">
        <f>+E13+E14+E15+E16+E17+E18</f>
        <v>0</v>
      </c>
      <c r="F12" s="15">
        <f>+F13+F14+F15+F16+F17+F18</f>
        <v>0</v>
      </c>
      <c r="H12" s="4">
        <f t="shared" si="0"/>
        <v>0</v>
      </c>
    </row>
    <row r="13" spans="1:8" s="14" customFormat="1">
      <c r="A13" s="102" t="s">
        <v>189</v>
      </c>
      <c r="B13" s="82" t="s">
        <v>93</v>
      </c>
      <c r="C13" s="24">
        <f>+D13+E13+F13</f>
        <v>0</v>
      </c>
      <c r="D13" s="20"/>
      <c r="E13" s="13"/>
      <c r="F13" s="16"/>
      <c r="H13" s="14">
        <f t="shared" si="0"/>
        <v>0</v>
      </c>
    </row>
    <row r="14" spans="1:8" s="14" customFormat="1">
      <c r="A14" s="102" t="s">
        <v>190</v>
      </c>
      <c r="B14" s="82" t="s">
        <v>94</v>
      </c>
      <c r="C14" s="24">
        <f t="shared" ref="C14:C24" si="1">+D14+E14+F14</f>
        <v>0</v>
      </c>
      <c r="D14" s="20"/>
      <c r="E14" s="13"/>
      <c r="F14" s="16"/>
      <c r="H14" s="14">
        <f t="shared" si="0"/>
        <v>0</v>
      </c>
    </row>
    <row r="15" spans="1:8" s="14" customFormat="1">
      <c r="A15" s="102" t="s">
        <v>191</v>
      </c>
      <c r="B15" s="82" t="s">
        <v>95</v>
      </c>
      <c r="C15" s="24">
        <f t="shared" si="1"/>
        <v>0</v>
      </c>
      <c r="D15" s="20"/>
      <c r="E15" s="13"/>
      <c r="F15" s="16"/>
      <c r="H15" s="14">
        <f t="shared" si="0"/>
        <v>0</v>
      </c>
    </row>
    <row r="16" spans="1:8" s="14" customFormat="1">
      <c r="A16" s="102" t="s">
        <v>192</v>
      </c>
      <c r="B16" s="82" t="s">
        <v>96</v>
      </c>
      <c r="C16" s="24">
        <f t="shared" si="1"/>
        <v>0</v>
      </c>
      <c r="D16" s="20"/>
      <c r="E16" s="13"/>
      <c r="F16" s="16"/>
      <c r="H16" s="14">
        <f t="shared" si="0"/>
        <v>0</v>
      </c>
    </row>
    <row r="17" spans="1:8" s="14" customFormat="1">
      <c r="A17" s="102" t="s">
        <v>193</v>
      </c>
      <c r="B17" s="82" t="s">
        <v>895</v>
      </c>
      <c r="C17" s="24">
        <f t="shared" si="1"/>
        <v>0</v>
      </c>
      <c r="D17" s="20"/>
      <c r="E17" s="13"/>
      <c r="F17" s="16"/>
      <c r="H17" s="14">
        <f t="shared" si="0"/>
        <v>0</v>
      </c>
    </row>
    <row r="18" spans="1:8" s="14" customFormat="1">
      <c r="A18" s="102" t="s">
        <v>194</v>
      </c>
      <c r="B18" s="82" t="s">
        <v>896</v>
      </c>
      <c r="C18" s="24">
        <f t="shared" si="1"/>
        <v>0</v>
      </c>
      <c r="D18" s="20"/>
      <c r="E18" s="13"/>
      <c r="F18" s="16"/>
      <c r="H18" s="14">
        <f t="shared" si="0"/>
        <v>0</v>
      </c>
    </row>
    <row r="19" spans="1:8">
      <c r="A19" s="101" t="s">
        <v>55</v>
      </c>
      <c r="B19" s="83" t="s">
        <v>97</v>
      </c>
      <c r="C19" s="23">
        <f t="shared" si="1"/>
        <v>0</v>
      </c>
      <c r="D19" s="21"/>
      <c r="E19" s="12"/>
      <c r="F19" s="17"/>
      <c r="H19" s="4">
        <f t="shared" si="0"/>
        <v>0</v>
      </c>
    </row>
    <row r="20" spans="1:8">
      <c r="A20" s="101" t="s">
        <v>83</v>
      </c>
      <c r="B20" s="83" t="s">
        <v>98</v>
      </c>
      <c r="C20" s="23">
        <f t="shared" si="1"/>
        <v>0</v>
      </c>
      <c r="D20" s="21"/>
      <c r="E20" s="12"/>
      <c r="F20" s="17"/>
      <c r="H20" s="4">
        <f t="shared" si="0"/>
        <v>0</v>
      </c>
    </row>
    <row r="21" spans="1:8">
      <c r="A21" s="101" t="s">
        <v>84</v>
      </c>
      <c r="B21" s="83" t="s">
        <v>99</v>
      </c>
      <c r="C21" s="23">
        <f t="shared" si="1"/>
        <v>0</v>
      </c>
      <c r="D21" s="21"/>
      <c r="E21" s="12"/>
      <c r="F21" s="17"/>
      <c r="H21" s="4">
        <f t="shared" si="0"/>
        <v>0</v>
      </c>
    </row>
    <row r="22" spans="1:8">
      <c r="A22" s="101" t="s">
        <v>85</v>
      </c>
      <c r="B22" s="83" t="s">
        <v>100</v>
      </c>
      <c r="C22" s="23">
        <f t="shared" si="1"/>
        <v>0</v>
      </c>
      <c r="D22" s="21"/>
      <c r="E22" s="12"/>
      <c r="F22" s="17"/>
      <c r="H22" s="4">
        <f t="shared" si="0"/>
        <v>0</v>
      </c>
    </row>
    <row r="23" spans="1:8">
      <c r="A23" s="94" t="s">
        <v>86</v>
      </c>
      <c r="B23" s="84" t="s">
        <v>101</v>
      </c>
      <c r="C23" s="26">
        <f t="shared" si="1"/>
        <v>0</v>
      </c>
      <c r="D23" s="27"/>
      <c r="E23" s="28"/>
      <c r="F23" s="29"/>
      <c r="H23" s="4">
        <f t="shared" si="0"/>
        <v>0</v>
      </c>
    </row>
    <row r="24" spans="1:8" s="14" customFormat="1" ht="12.75" thickBot="1">
      <c r="A24" s="105" t="s">
        <v>331</v>
      </c>
      <c r="B24" s="894" t="s">
        <v>332</v>
      </c>
      <c r="C24" s="58">
        <f t="shared" si="1"/>
        <v>0</v>
      </c>
      <c r="D24" s="56"/>
      <c r="E24" s="54"/>
      <c r="F24" s="55"/>
      <c r="H24" s="14">
        <f t="shared" si="0"/>
        <v>0</v>
      </c>
    </row>
    <row r="25" spans="1:8" s="3" customFormat="1" ht="12.75" customHeight="1" thickBot="1">
      <c r="A25" s="99" t="s">
        <v>6</v>
      </c>
      <c r="B25" s="80" t="s">
        <v>778</v>
      </c>
      <c r="C25" s="44">
        <f>+C26+C27+C28+C29+C30+C31</f>
        <v>0</v>
      </c>
      <c r="D25" s="33">
        <f>+D26+D27+D28+D29+D30+D31</f>
        <v>0</v>
      </c>
      <c r="E25" s="34">
        <f>+E26+E27+E28+E29+E30+E31</f>
        <v>0</v>
      </c>
      <c r="F25" s="35">
        <f>+F26+F27+F28+F29+F30+F31</f>
        <v>0</v>
      </c>
      <c r="H25" s="3">
        <f t="shared" si="0"/>
        <v>0</v>
      </c>
    </row>
    <row r="26" spans="1:8" ht="12.75" customHeight="1">
      <c r="A26" s="100" t="s">
        <v>58</v>
      </c>
      <c r="B26" s="81" t="s">
        <v>102</v>
      </c>
      <c r="C26" s="36">
        <f t="shared" ref="C26:C31" si="2">+D26+E26+F26</f>
        <v>0</v>
      </c>
      <c r="D26" s="41"/>
      <c r="E26" s="11"/>
      <c r="F26" s="42"/>
      <c r="H26" s="4">
        <f t="shared" si="0"/>
        <v>0</v>
      </c>
    </row>
    <row r="27" spans="1:8" ht="12.75" customHeight="1">
      <c r="A27" s="101" t="s">
        <v>59</v>
      </c>
      <c r="B27" s="83" t="s">
        <v>103</v>
      </c>
      <c r="C27" s="23">
        <f t="shared" si="2"/>
        <v>0</v>
      </c>
      <c r="D27" s="21"/>
      <c r="E27" s="12"/>
      <c r="F27" s="17"/>
      <c r="H27" s="4">
        <f t="shared" si="0"/>
        <v>0</v>
      </c>
    </row>
    <row r="28" spans="1:8" ht="12.75" customHeight="1">
      <c r="A28" s="101" t="s">
        <v>60</v>
      </c>
      <c r="B28" s="83" t="s">
        <v>104</v>
      </c>
      <c r="C28" s="23">
        <f t="shared" si="2"/>
        <v>0</v>
      </c>
      <c r="D28" s="21"/>
      <c r="E28" s="12"/>
      <c r="F28" s="17"/>
      <c r="H28" s="4">
        <f t="shared" si="0"/>
        <v>0</v>
      </c>
    </row>
    <row r="29" spans="1:8" ht="12.75" customHeight="1">
      <c r="A29" s="101" t="s">
        <v>179</v>
      </c>
      <c r="B29" s="83" t="s">
        <v>105</v>
      </c>
      <c r="C29" s="23">
        <f t="shared" si="2"/>
        <v>0</v>
      </c>
      <c r="D29" s="21"/>
      <c r="E29" s="12"/>
      <c r="F29" s="17"/>
      <c r="H29" s="4">
        <f t="shared" si="0"/>
        <v>0</v>
      </c>
    </row>
    <row r="30" spans="1:8" ht="12.75" customHeight="1">
      <c r="A30" s="94" t="s">
        <v>180</v>
      </c>
      <c r="B30" s="84" t="s">
        <v>106</v>
      </c>
      <c r="C30" s="26">
        <f t="shared" si="2"/>
        <v>0</v>
      </c>
      <c r="D30" s="21"/>
      <c r="E30" s="12"/>
      <c r="F30" s="17"/>
      <c r="H30" s="4">
        <f t="shared" si="0"/>
        <v>0</v>
      </c>
    </row>
    <row r="31" spans="1:8" ht="12.75" customHeight="1" thickBot="1">
      <c r="A31" s="94" t="s">
        <v>777</v>
      </c>
      <c r="B31" s="84" t="s">
        <v>779</v>
      </c>
      <c r="C31" s="26">
        <f t="shared" si="2"/>
        <v>0</v>
      </c>
      <c r="D31" s="21"/>
      <c r="E31" s="12"/>
      <c r="F31" s="17"/>
      <c r="H31" s="4">
        <f t="shared" si="0"/>
        <v>0</v>
      </c>
    </row>
    <row r="32" spans="1:8" s="3" customFormat="1" ht="12.75" customHeight="1" thickBot="1">
      <c r="A32" s="99" t="s">
        <v>3</v>
      </c>
      <c r="B32" s="80" t="s">
        <v>968</v>
      </c>
      <c r="C32" s="44">
        <f>+C33+C34+C35+C36+C37+C38+C39+C40+C41+C42+C43</f>
        <v>0</v>
      </c>
      <c r="D32" s="33">
        <f>+D33+D34+D35+D36+D37+D38+D39+D40+D41+D42+D43</f>
        <v>0</v>
      </c>
      <c r="E32" s="34">
        <f>+E33+E34+E35+E36+E37+E38+E39+E40+E41+E42+E43</f>
        <v>0</v>
      </c>
      <c r="F32" s="35">
        <f>+F33+F34+F35+F36+F37+F38+F39+F40+F41+F42+F43</f>
        <v>0</v>
      </c>
      <c r="H32" s="3">
        <f t="shared" si="0"/>
        <v>0</v>
      </c>
    </row>
    <row r="33" spans="1:8" ht="12.75" customHeight="1">
      <c r="A33" s="100" t="s">
        <v>61</v>
      </c>
      <c r="B33" s="81" t="s">
        <v>1585</v>
      </c>
      <c r="C33" s="36">
        <f t="shared" ref="C33:C43" si="3">+D33+E33+F33</f>
        <v>0</v>
      </c>
      <c r="D33" s="41"/>
      <c r="E33" s="11"/>
      <c r="F33" s="42"/>
      <c r="H33" s="4">
        <f t="shared" si="0"/>
        <v>0</v>
      </c>
    </row>
    <row r="34" spans="1:8" ht="12.75" customHeight="1">
      <c r="A34" s="101" t="s">
        <v>62</v>
      </c>
      <c r="B34" s="83" t="s">
        <v>107</v>
      </c>
      <c r="C34" s="23">
        <f t="shared" si="3"/>
        <v>0</v>
      </c>
      <c r="D34" s="21"/>
      <c r="E34" s="12"/>
      <c r="F34" s="17"/>
      <c r="H34" s="4">
        <f t="shared" si="0"/>
        <v>0</v>
      </c>
    </row>
    <row r="35" spans="1:8" ht="12.75" customHeight="1">
      <c r="A35" s="101" t="s">
        <v>63</v>
      </c>
      <c r="B35" s="83" t="s">
        <v>108</v>
      </c>
      <c r="C35" s="23">
        <f t="shared" si="3"/>
        <v>0</v>
      </c>
      <c r="D35" s="21"/>
      <c r="E35" s="12"/>
      <c r="F35" s="17"/>
      <c r="H35" s="4">
        <f t="shared" si="0"/>
        <v>0</v>
      </c>
    </row>
    <row r="36" spans="1:8" ht="12.75" customHeight="1">
      <c r="A36" s="101" t="s">
        <v>64</v>
      </c>
      <c r="B36" s="83" t="s">
        <v>109</v>
      </c>
      <c r="C36" s="23">
        <f t="shared" si="3"/>
        <v>0</v>
      </c>
      <c r="D36" s="21"/>
      <c r="E36" s="12"/>
      <c r="F36" s="17"/>
      <c r="H36" s="4">
        <f t="shared" si="0"/>
        <v>0</v>
      </c>
    </row>
    <row r="37" spans="1:8" ht="12.75" customHeight="1">
      <c r="A37" s="101" t="s">
        <v>65</v>
      </c>
      <c r="B37" s="83" t="s">
        <v>110</v>
      </c>
      <c r="C37" s="23">
        <f t="shared" si="3"/>
        <v>0</v>
      </c>
      <c r="D37" s="21"/>
      <c r="E37" s="12"/>
      <c r="F37" s="17"/>
      <c r="H37" s="4">
        <f t="shared" si="0"/>
        <v>0</v>
      </c>
    </row>
    <row r="38" spans="1:8" ht="12.75" customHeight="1">
      <c r="A38" s="101" t="s">
        <v>221</v>
      </c>
      <c r="B38" s="83" t="s">
        <v>111</v>
      </c>
      <c r="C38" s="23">
        <f t="shared" si="3"/>
        <v>0</v>
      </c>
      <c r="D38" s="21"/>
      <c r="E38" s="12"/>
      <c r="F38" s="17"/>
      <c r="H38" s="4">
        <f t="shared" si="0"/>
        <v>0</v>
      </c>
    </row>
    <row r="39" spans="1:8" ht="12.75" customHeight="1">
      <c r="A39" s="101" t="s">
        <v>222</v>
      </c>
      <c r="B39" s="83" t="s">
        <v>112</v>
      </c>
      <c r="C39" s="23">
        <f t="shared" si="3"/>
        <v>0</v>
      </c>
      <c r="D39" s="21"/>
      <c r="E39" s="12"/>
      <c r="F39" s="17"/>
      <c r="H39" s="4">
        <f t="shared" si="0"/>
        <v>0</v>
      </c>
    </row>
    <row r="40" spans="1:8" ht="12.75" customHeight="1">
      <c r="A40" s="101" t="s">
        <v>223</v>
      </c>
      <c r="B40" s="83" t="s">
        <v>978</v>
      </c>
      <c r="C40" s="23">
        <f t="shared" si="3"/>
        <v>0</v>
      </c>
      <c r="D40" s="21"/>
      <c r="E40" s="12"/>
      <c r="F40" s="17"/>
      <c r="H40" s="4">
        <f t="shared" si="0"/>
        <v>0</v>
      </c>
    </row>
    <row r="41" spans="1:8" ht="12.75" customHeight="1">
      <c r="A41" s="101" t="s">
        <v>224</v>
      </c>
      <c r="B41" s="83" t="s">
        <v>113</v>
      </c>
      <c r="C41" s="23">
        <f t="shared" si="3"/>
        <v>0</v>
      </c>
      <c r="D41" s="21"/>
      <c r="E41" s="12"/>
      <c r="F41" s="17"/>
      <c r="H41" s="4">
        <f t="shared" si="0"/>
        <v>0</v>
      </c>
    </row>
    <row r="42" spans="1:8" ht="12.75" customHeight="1">
      <c r="A42" s="94" t="s">
        <v>225</v>
      </c>
      <c r="B42" s="84" t="s">
        <v>898</v>
      </c>
      <c r="C42" s="23">
        <f>+D42+E42+F42</f>
        <v>0</v>
      </c>
      <c r="D42" s="21"/>
      <c r="E42" s="12"/>
      <c r="F42" s="17"/>
      <c r="H42" s="4">
        <f t="shared" si="0"/>
        <v>0</v>
      </c>
    </row>
    <row r="43" spans="1:8" ht="12.75" customHeight="1" thickBot="1">
      <c r="A43" s="94" t="s">
        <v>897</v>
      </c>
      <c r="B43" s="84" t="s">
        <v>899</v>
      </c>
      <c r="C43" s="26">
        <f t="shared" si="3"/>
        <v>0</v>
      </c>
      <c r="D43" s="27"/>
      <c r="E43" s="28"/>
      <c r="F43" s="29"/>
      <c r="H43" s="4">
        <f t="shared" si="0"/>
        <v>0</v>
      </c>
    </row>
    <row r="44" spans="1:8" s="3" customFormat="1" ht="12.75" thickBot="1">
      <c r="A44" s="99" t="s">
        <v>16</v>
      </c>
      <c r="B44" s="80" t="s">
        <v>969</v>
      </c>
      <c r="C44" s="44">
        <f>+C45+C46+C47+C48+C49</f>
        <v>0</v>
      </c>
      <c r="D44" s="33">
        <f>+D45+D46+D47+D48+D49</f>
        <v>0</v>
      </c>
      <c r="E44" s="34">
        <f>+E45+E46+E47+E48+E49</f>
        <v>0</v>
      </c>
      <c r="F44" s="35">
        <f>+F45+F46+F47+F48+F49</f>
        <v>0</v>
      </c>
      <c r="H44" s="3">
        <f t="shared" si="0"/>
        <v>0</v>
      </c>
    </row>
    <row r="45" spans="1:8" ht="12.75" customHeight="1">
      <c r="A45" s="100" t="s">
        <v>226</v>
      </c>
      <c r="B45" s="81" t="s">
        <v>114</v>
      </c>
      <c r="C45" s="36">
        <f>+D45+E45+F45</f>
        <v>0</v>
      </c>
      <c r="D45" s="41"/>
      <c r="E45" s="11"/>
      <c r="F45" s="42"/>
      <c r="H45" s="4">
        <f t="shared" si="0"/>
        <v>0</v>
      </c>
    </row>
    <row r="46" spans="1:8" ht="12.75" customHeight="1">
      <c r="A46" s="100" t="s">
        <v>227</v>
      </c>
      <c r="B46" s="81" t="s">
        <v>900</v>
      </c>
      <c r="C46" s="36">
        <f>+D46+E46+F46</f>
        <v>0</v>
      </c>
      <c r="D46" s="41"/>
      <c r="E46" s="11"/>
      <c r="F46" s="42"/>
      <c r="H46" s="4">
        <f t="shared" si="0"/>
        <v>0</v>
      </c>
    </row>
    <row r="47" spans="1:8" ht="12.75" customHeight="1">
      <c r="A47" s="100" t="s">
        <v>228</v>
      </c>
      <c r="B47" s="81" t="s">
        <v>901</v>
      </c>
      <c r="C47" s="36">
        <f>+D47+E47+F47</f>
        <v>0</v>
      </c>
      <c r="D47" s="41"/>
      <c r="E47" s="11"/>
      <c r="F47" s="42"/>
      <c r="H47" s="4">
        <f t="shared" si="0"/>
        <v>0</v>
      </c>
    </row>
    <row r="48" spans="1:8" ht="12.75" customHeight="1">
      <c r="A48" s="101" t="s">
        <v>256</v>
      </c>
      <c r="B48" s="83" t="s">
        <v>902</v>
      </c>
      <c r="C48" s="23">
        <f>+D48+E48+F48</f>
        <v>0</v>
      </c>
      <c r="D48" s="21"/>
      <c r="E48" s="12"/>
      <c r="F48" s="17"/>
      <c r="H48" s="4">
        <f t="shared" si="0"/>
        <v>0</v>
      </c>
    </row>
    <row r="49" spans="1:8" ht="12.75" customHeight="1" thickBot="1">
      <c r="A49" s="94" t="s">
        <v>257</v>
      </c>
      <c r="B49" s="84" t="s">
        <v>903</v>
      </c>
      <c r="C49" s="26">
        <f>+D49+E49+F49</f>
        <v>0</v>
      </c>
      <c r="D49" s="27"/>
      <c r="E49" s="28"/>
      <c r="F49" s="29"/>
      <c r="H49" s="4">
        <f t="shared" si="0"/>
        <v>0</v>
      </c>
    </row>
    <row r="50" spans="1:8" s="3" customFormat="1" ht="12.75" thickBot="1">
      <c r="A50" s="99" t="s">
        <v>15</v>
      </c>
      <c r="B50" s="85" t="s">
        <v>299</v>
      </c>
      <c r="C50" s="44">
        <f>+C51+C58+C64</f>
        <v>0</v>
      </c>
      <c r="D50" s="33">
        <f>+D51+D58+D64</f>
        <v>0</v>
      </c>
      <c r="E50" s="34">
        <f>+E51+E58+E64</f>
        <v>0</v>
      </c>
      <c r="F50" s="35">
        <f>+F51+F58+F64</f>
        <v>0</v>
      </c>
      <c r="H50" s="3">
        <f t="shared" si="0"/>
        <v>0</v>
      </c>
    </row>
    <row r="51" spans="1:8" s="3" customFormat="1" ht="12.75" customHeight="1" thickBot="1">
      <c r="A51" s="99" t="s">
        <v>14</v>
      </c>
      <c r="B51" s="80" t="s">
        <v>300</v>
      </c>
      <c r="C51" s="44">
        <f>+C52+C53+C54+C55+C56</f>
        <v>0</v>
      </c>
      <c r="D51" s="33">
        <f>+D52+D53+D54+D55+D56</f>
        <v>0</v>
      </c>
      <c r="E51" s="34">
        <f>+E52+E53+E54+E55+E56</f>
        <v>0</v>
      </c>
      <c r="F51" s="35">
        <f>+F52+F53+F54+F55+F56</f>
        <v>0</v>
      </c>
      <c r="H51" s="3">
        <f t="shared" si="0"/>
        <v>0</v>
      </c>
    </row>
    <row r="52" spans="1:8">
      <c r="A52" s="100" t="s">
        <v>184</v>
      </c>
      <c r="B52" s="135" t="s">
        <v>115</v>
      </c>
      <c r="C52" s="36">
        <f t="shared" ref="C52:C57" si="4">+D52+E52+F52</f>
        <v>0</v>
      </c>
      <c r="D52" s="41"/>
      <c r="E52" s="11"/>
      <c r="F52" s="42"/>
      <c r="H52" s="4">
        <f t="shared" si="0"/>
        <v>0</v>
      </c>
    </row>
    <row r="53" spans="1:8">
      <c r="A53" s="101" t="s">
        <v>185</v>
      </c>
      <c r="B53" s="83" t="s">
        <v>116</v>
      </c>
      <c r="C53" s="23">
        <f t="shared" si="4"/>
        <v>0</v>
      </c>
      <c r="D53" s="21"/>
      <c r="E53" s="12"/>
      <c r="F53" s="17"/>
      <c r="H53" s="4">
        <f t="shared" si="0"/>
        <v>0</v>
      </c>
    </row>
    <row r="54" spans="1:8">
      <c r="A54" s="101" t="s">
        <v>186</v>
      </c>
      <c r="B54" s="83" t="s">
        <v>117</v>
      </c>
      <c r="C54" s="23">
        <f t="shared" si="4"/>
        <v>0</v>
      </c>
      <c r="D54" s="21"/>
      <c r="E54" s="12"/>
      <c r="F54" s="17"/>
      <c r="H54" s="4">
        <f t="shared" si="0"/>
        <v>0</v>
      </c>
    </row>
    <row r="55" spans="1:8">
      <c r="A55" s="101" t="s">
        <v>187</v>
      </c>
      <c r="B55" s="83" t="s">
        <v>118</v>
      </c>
      <c r="C55" s="23">
        <f t="shared" si="4"/>
        <v>0</v>
      </c>
      <c r="D55" s="21"/>
      <c r="E55" s="12"/>
      <c r="F55" s="17"/>
      <c r="H55" s="4">
        <f t="shared" si="0"/>
        <v>0</v>
      </c>
    </row>
    <row r="56" spans="1:8">
      <c r="A56" s="94" t="s">
        <v>188</v>
      </c>
      <c r="B56" s="84" t="s">
        <v>119</v>
      </c>
      <c r="C56" s="26">
        <f t="shared" si="4"/>
        <v>0</v>
      </c>
      <c r="D56" s="27"/>
      <c r="E56" s="28"/>
      <c r="F56" s="29"/>
      <c r="H56" s="4">
        <f t="shared" si="0"/>
        <v>0</v>
      </c>
    </row>
    <row r="57" spans="1:8" s="14" customFormat="1" ht="12.75" thickBot="1">
      <c r="A57" s="105" t="s">
        <v>333</v>
      </c>
      <c r="B57" s="894" t="s">
        <v>337</v>
      </c>
      <c r="C57" s="58">
        <f t="shared" si="4"/>
        <v>0</v>
      </c>
      <c r="D57" s="56"/>
      <c r="E57" s="54"/>
      <c r="F57" s="55"/>
      <c r="H57" s="14">
        <f t="shared" si="0"/>
        <v>0</v>
      </c>
    </row>
    <row r="58" spans="1:8" s="3" customFormat="1" ht="12.75" customHeight="1" thickBot="1">
      <c r="A58" s="99" t="s">
        <v>13</v>
      </c>
      <c r="B58" s="80" t="s">
        <v>301</v>
      </c>
      <c r="C58" s="44">
        <f>+C59+C60+C61+C62+C63</f>
        <v>0</v>
      </c>
      <c r="D58" s="33">
        <f>+D59+D60+D61+D62+D63</f>
        <v>0</v>
      </c>
      <c r="E58" s="34">
        <f>+E59+E60+E61+E62+E63</f>
        <v>0</v>
      </c>
      <c r="F58" s="35">
        <f>+F59+F60+F61+F62+F63</f>
        <v>0</v>
      </c>
      <c r="H58" s="3">
        <f t="shared" si="0"/>
        <v>0</v>
      </c>
    </row>
    <row r="59" spans="1:8" ht="12.75" customHeight="1">
      <c r="A59" s="100" t="s">
        <v>66</v>
      </c>
      <c r="B59" s="81" t="s">
        <v>120</v>
      </c>
      <c r="C59" s="36">
        <f>+D59+E59+F59</f>
        <v>0</v>
      </c>
      <c r="D59" s="41"/>
      <c r="E59" s="11"/>
      <c r="F59" s="42"/>
      <c r="H59" s="4">
        <f t="shared" si="0"/>
        <v>0</v>
      </c>
    </row>
    <row r="60" spans="1:8" ht="12.75" customHeight="1">
      <c r="A60" s="101" t="s">
        <v>67</v>
      </c>
      <c r="B60" s="83" t="s">
        <v>121</v>
      </c>
      <c r="C60" s="23">
        <f>+D60+E60+F60</f>
        <v>0</v>
      </c>
      <c r="D60" s="21"/>
      <c r="E60" s="12"/>
      <c r="F60" s="17"/>
      <c r="H60" s="4">
        <f t="shared" si="0"/>
        <v>0</v>
      </c>
    </row>
    <row r="61" spans="1:8" ht="12.75" customHeight="1">
      <c r="A61" s="101" t="s">
        <v>68</v>
      </c>
      <c r="B61" s="83" t="s">
        <v>122</v>
      </c>
      <c r="C61" s="23">
        <f>+D61+E61+F61</f>
        <v>0</v>
      </c>
      <c r="D61" s="21"/>
      <c r="E61" s="12"/>
      <c r="F61" s="17"/>
      <c r="H61" s="4">
        <f t="shared" si="0"/>
        <v>0</v>
      </c>
    </row>
    <row r="62" spans="1:8" ht="12.75" customHeight="1">
      <c r="A62" s="101" t="s">
        <v>229</v>
      </c>
      <c r="B62" s="83" t="s">
        <v>123</v>
      </c>
      <c r="C62" s="23">
        <f>+D62+E62+F62</f>
        <v>0</v>
      </c>
      <c r="D62" s="21"/>
      <c r="E62" s="12"/>
      <c r="F62" s="17"/>
      <c r="H62" s="4">
        <f t="shared" si="0"/>
        <v>0</v>
      </c>
    </row>
    <row r="63" spans="1:8" ht="12.75" customHeight="1" thickBot="1">
      <c r="A63" s="94" t="s">
        <v>230</v>
      </c>
      <c r="B63" s="84" t="s">
        <v>124</v>
      </c>
      <c r="C63" s="26">
        <f>+D63+E63+F63</f>
        <v>0</v>
      </c>
      <c r="D63" s="27"/>
      <c r="E63" s="28"/>
      <c r="F63" s="29"/>
      <c r="H63" s="4">
        <f t="shared" si="0"/>
        <v>0</v>
      </c>
    </row>
    <row r="64" spans="1:8" s="3" customFormat="1" ht="12.75" thickBot="1">
      <c r="A64" s="99" t="s">
        <v>12</v>
      </c>
      <c r="B64" s="80" t="s">
        <v>907</v>
      </c>
      <c r="C64" s="44">
        <f>+C65+C66+C67+C68+C69</f>
        <v>0</v>
      </c>
      <c r="D64" s="33">
        <f>+D65+D66+D67+D68+D69</f>
        <v>0</v>
      </c>
      <c r="E64" s="34">
        <f>+E65+E66+E67+E68+E69</f>
        <v>0</v>
      </c>
      <c r="F64" s="35">
        <f>+F65+F66+F67+F68+F69</f>
        <v>0</v>
      </c>
      <c r="H64" s="3">
        <f t="shared" si="0"/>
        <v>0</v>
      </c>
    </row>
    <row r="65" spans="1:8">
      <c r="A65" s="100" t="s">
        <v>69</v>
      </c>
      <c r="B65" s="81" t="s">
        <v>125</v>
      </c>
      <c r="C65" s="36">
        <f>+D65+E65+F65</f>
        <v>0</v>
      </c>
      <c r="D65" s="41"/>
      <c r="E65" s="11"/>
      <c r="F65" s="42"/>
      <c r="H65" s="4">
        <f t="shared" si="0"/>
        <v>0</v>
      </c>
    </row>
    <row r="66" spans="1:8">
      <c r="A66" s="100" t="s">
        <v>70</v>
      </c>
      <c r="B66" s="81" t="s">
        <v>908</v>
      </c>
      <c r="C66" s="36">
        <f>+D66+E66+F66</f>
        <v>0</v>
      </c>
      <c r="D66" s="41"/>
      <c r="E66" s="11"/>
      <c r="F66" s="42"/>
      <c r="H66" s="4">
        <f t="shared" si="0"/>
        <v>0</v>
      </c>
    </row>
    <row r="67" spans="1:8">
      <c r="A67" s="100" t="s">
        <v>71</v>
      </c>
      <c r="B67" s="81" t="s">
        <v>909</v>
      </c>
      <c r="C67" s="36">
        <f>+D67+E67+F67</f>
        <v>0</v>
      </c>
      <c r="D67" s="41"/>
      <c r="E67" s="11"/>
      <c r="F67" s="42"/>
      <c r="H67" s="4">
        <f t="shared" si="0"/>
        <v>0</v>
      </c>
    </row>
    <row r="68" spans="1:8">
      <c r="A68" s="101" t="s">
        <v>72</v>
      </c>
      <c r="B68" s="83" t="s">
        <v>905</v>
      </c>
      <c r="C68" s="23">
        <f>+D68+E68+F68</f>
        <v>0</v>
      </c>
      <c r="D68" s="21"/>
      <c r="E68" s="12"/>
      <c r="F68" s="17"/>
      <c r="H68" s="4">
        <f t="shared" si="0"/>
        <v>0</v>
      </c>
    </row>
    <row r="69" spans="1:8" ht="12.75" thickBot="1">
      <c r="A69" s="94" t="s">
        <v>904</v>
      </c>
      <c r="B69" s="84" t="s">
        <v>906</v>
      </c>
      <c r="C69" s="26">
        <f>+D69+E69+F69</f>
        <v>0</v>
      </c>
      <c r="D69" s="27"/>
      <c r="E69" s="28"/>
      <c r="F69" s="29"/>
      <c r="H69" s="4">
        <f t="shared" si="0"/>
        <v>0</v>
      </c>
    </row>
    <row r="70" spans="1:8" s="3" customFormat="1" ht="12.75" thickBot="1">
      <c r="A70" s="99" t="s">
        <v>11</v>
      </c>
      <c r="B70" s="85" t="s">
        <v>302</v>
      </c>
      <c r="C70" s="44">
        <f>+C10+C50</f>
        <v>0</v>
      </c>
      <c r="D70" s="33">
        <f>+D10+D50</f>
        <v>0</v>
      </c>
      <c r="E70" s="34">
        <f>+E10+E50</f>
        <v>0</v>
      </c>
      <c r="F70" s="35">
        <f>+F10+F50</f>
        <v>0</v>
      </c>
      <c r="H70" s="3">
        <f t="shared" si="0"/>
        <v>0</v>
      </c>
    </row>
    <row r="71" spans="1:8" s="3" customFormat="1" ht="12.75" thickBot="1">
      <c r="A71" s="99" t="s">
        <v>10</v>
      </c>
      <c r="B71" s="86" t="s">
        <v>303</v>
      </c>
      <c r="C71" s="44">
        <f>+C72</f>
        <v>83600</v>
      </c>
      <c r="D71" s="33">
        <f>+D72</f>
        <v>83600</v>
      </c>
      <c r="E71" s="34">
        <f>+E72</f>
        <v>0</v>
      </c>
      <c r="F71" s="35">
        <f>+F72</f>
        <v>0</v>
      </c>
      <c r="H71" s="3">
        <f t="shared" si="0"/>
        <v>0</v>
      </c>
    </row>
    <row r="72" spans="1:8" s="3" customFormat="1" ht="12.75" thickBot="1">
      <c r="A72" s="99" t="s">
        <v>9</v>
      </c>
      <c r="B72" s="80" t="s">
        <v>916</v>
      </c>
      <c r="C72" s="44">
        <f>+C73+C83+C84+C85</f>
        <v>83600</v>
      </c>
      <c r="D72" s="33">
        <f>+D73+D83+D84+D85</f>
        <v>83600</v>
      </c>
      <c r="E72" s="34">
        <f>+E73+E83+E84+E85</f>
        <v>0</v>
      </c>
      <c r="F72" s="35">
        <f>+F73+F83+F84+F85</f>
        <v>0</v>
      </c>
      <c r="H72" s="3">
        <f t="shared" si="0"/>
        <v>0</v>
      </c>
    </row>
    <row r="73" spans="1:8">
      <c r="A73" s="100" t="s">
        <v>73</v>
      </c>
      <c r="B73" s="81" t="s">
        <v>911</v>
      </c>
      <c r="C73" s="36">
        <f>+C74+C75+C76+C77+C78+C79+C80+C81+C82</f>
        <v>83600</v>
      </c>
      <c r="D73" s="41">
        <f>+D74+D75+D76+D77+D78+D79+D80+D81+D82</f>
        <v>83600</v>
      </c>
      <c r="E73" s="11">
        <f>+E74+E75+E76+E77+E78+E79+E80+E81+E82</f>
        <v>0</v>
      </c>
      <c r="F73" s="42">
        <f>+F74+F75+F76+F77+F78+F79+F80+F81+F82</f>
        <v>0</v>
      </c>
      <c r="H73" s="4">
        <f t="shared" si="0"/>
        <v>0</v>
      </c>
    </row>
    <row r="74" spans="1:8" s="14" customFormat="1">
      <c r="A74" s="102" t="s">
        <v>195</v>
      </c>
      <c r="B74" s="82" t="s">
        <v>910</v>
      </c>
      <c r="C74" s="24">
        <f t="shared" ref="C74:C84" si="5">+D74+E74+F74</f>
        <v>0</v>
      </c>
      <c r="D74" s="20"/>
      <c r="E74" s="13"/>
      <c r="F74" s="16"/>
      <c r="H74" s="14">
        <f t="shared" si="0"/>
        <v>0</v>
      </c>
    </row>
    <row r="75" spans="1:8" s="14" customFormat="1">
      <c r="A75" s="102" t="s">
        <v>196</v>
      </c>
      <c r="B75" s="82" t="s">
        <v>246</v>
      </c>
      <c r="C75" s="24">
        <f t="shared" si="5"/>
        <v>0</v>
      </c>
      <c r="D75" s="20"/>
      <c r="E75" s="13"/>
      <c r="F75" s="16"/>
      <c r="H75" s="14">
        <f t="shared" ref="H75:H138" si="6">+C75-D75-E75-F75</f>
        <v>0</v>
      </c>
    </row>
    <row r="76" spans="1:8" s="14" customFormat="1">
      <c r="A76" s="102" t="s">
        <v>197</v>
      </c>
      <c r="B76" s="82" t="s">
        <v>247</v>
      </c>
      <c r="C76" s="24">
        <f t="shared" si="5"/>
        <v>0</v>
      </c>
      <c r="D76" s="20"/>
      <c r="E76" s="13"/>
      <c r="F76" s="16"/>
      <c r="H76" s="14">
        <f t="shared" si="6"/>
        <v>0</v>
      </c>
    </row>
    <row r="77" spans="1:8" s="14" customFormat="1">
      <c r="A77" s="102" t="s">
        <v>198</v>
      </c>
      <c r="B77" s="82" t="s">
        <v>248</v>
      </c>
      <c r="C77" s="24">
        <f t="shared" si="5"/>
        <v>0</v>
      </c>
      <c r="D77" s="20"/>
      <c r="E77" s="13"/>
      <c r="F77" s="16"/>
      <c r="H77" s="14">
        <f t="shared" si="6"/>
        <v>0</v>
      </c>
    </row>
    <row r="78" spans="1:8" s="14" customFormat="1">
      <c r="A78" s="102" t="s">
        <v>199</v>
      </c>
      <c r="B78" s="82" t="s">
        <v>249</v>
      </c>
      <c r="C78" s="24">
        <f t="shared" si="5"/>
        <v>0</v>
      </c>
      <c r="D78" s="20"/>
      <c r="E78" s="13"/>
      <c r="F78" s="16"/>
      <c r="H78" s="14">
        <f t="shared" si="6"/>
        <v>0</v>
      </c>
    </row>
    <row r="79" spans="1:8" s="14" customFormat="1">
      <c r="A79" s="127" t="s">
        <v>200</v>
      </c>
      <c r="B79" s="128" t="s">
        <v>250</v>
      </c>
      <c r="C79" s="24">
        <f t="shared" si="5"/>
        <v>83600</v>
      </c>
      <c r="D79" s="20">
        <f>+D109-D10+D178-D74-D75-D76-D77-D78-D80-D81-D83-D84-D85</f>
        <v>83600</v>
      </c>
      <c r="E79" s="13">
        <f>+E109-E10+E178-E74-E75-E76-E77-E78-E80-E81-E83-E84-E85</f>
        <v>0</v>
      </c>
      <c r="F79" s="16">
        <f>+F109-F10+F178-F74-F75-F76-F77-F78-F80-F81-F83-F84-F85</f>
        <v>0</v>
      </c>
      <c r="H79" s="140">
        <f t="shared" si="6"/>
        <v>0</v>
      </c>
    </row>
    <row r="80" spans="1:8" s="14" customFormat="1">
      <c r="A80" s="102" t="s">
        <v>203</v>
      </c>
      <c r="B80" s="82" t="s">
        <v>251</v>
      </c>
      <c r="C80" s="24">
        <f t="shared" si="5"/>
        <v>0</v>
      </c>
      <c r="D80" s="20"/>
      <c r="E80" s="13"/>
      <c r="F80" s="16"/>
      <c r="H80" s="140">
        <f t="shared" si="6"/>
        <v>0</v>
      </c>
    </row>
    <row r="81" spans="1:8" s="14" customFormat="1">
      <c r="A81" s="102" t="s">
        <v>201</v>
      </c>
      <c r="B81" s="82" t="s">
        <v>244</v>
      </c>
      <c r="C81" s="24">
        <f t="shared" si="5"/>
        <v>0</v>
      </c>
      <c r="D81" s="20"/>
      <c r="E81" s="13"/>
      <c r="F81" s="16"/>
      <c r="H81" s="140">
        <f t="shared" si="6"/>
        <v>0</v>
      </c>
    </row>
    <row r="82" spans="1:8" s="14" customFormat="1">
      <c r="A82" s="102" t="s">
        <v>912</v>
      </c>
      <c r="B82" s="82" t="s">
        <v>913</v>
      </c>
      <c r="C82" s="24">
        <f>+D82+E82+F82</f>
        <v>0</v>
      </c>
      <c r="D82" s="20"/>
      <c r="E82" s="13"/>
      <c r="F82" s="16"/>
      <c r="H82" s="140">
        <f t="shared" si="6"/>
        <v>0</v>
      </c>
    </row>
    <row r="83" spans="1:8">
      <c r="A83" s="101" t="s">
        <v>74</v>
      </c>
      <c r="B83" s="83" t="s">
        <v>242</v>
      </c>
      <c r="C83" s="23">
        <f t="shared" si="5"/>
        <v>0</v>
      </c>
      <c r="D83" s="21"/>
      <c r="E83" s="12"/>
      <c r="F83" s="17"/>
      <c r="H83" s="141">
        <f t="shared" si="6"/>
        <v>0</v>
      </c>
    </row>
    <row r="84" spans="1:8">
      <c r="A84" s="94" t="s">
        <v>202</v>
      </c>
      <c r="B84" s="84" t="s">
        <v>243</v>
      </c>
      <c r="C84" s="26">
        <f t="shared" si="5"/>
        <v>0</v>
      </c>
      <c r="D84" s="27"/>
      <c r="E84" s="28"/>
      <c r="F84" s="29"/>
      <c r="H84" s="141">
        <f t="shared" si="6"/>
        <v>0</v>
      </c>
    </row>
    <row r="85" spans="1:8" ht="12.75" thickBot="1">
      <c r="A85" s="94" t="s">
        <v>914</v>
      </c>
      <c r="B85" s="84" t="s">
        <v>915</v>
      </c>
      <c r="C85" s="26">
        <f>+D85+E85+F85</f>
        <v>0</v>
      </c>
      <c r="D85" s="27"/>
      <c r="E85" s="28"/>
      <c r="F85" s="29"/>
      <c r="H85" s="141">
        <f t="shared" si="6"/>
        <v>0</v>
      </c>
    </row>
    <row r="86" spans="1:8" s="3" customFormat="1" ht="12.75" thickBot="1">
      <c r="A86" s="99" t="s">
        <v>45</v>
      </c>
      <c r="B86" s="86" t="s">
        <v>304</v>
      </c>
      <c r="C86" s="44">
        <f>+C87</f>
        <v>0</v>
      </c>
      <c r="D86" s="33">
        <f>+D87</f>
        <v>0</v>
      </c>
      <c r="E86" s="34">
        <f>+E87</f>
        <v>0</v>
      </c>
      <c r="F86" s="35">
        <f>+F87</f>
        <v>0</v>
      </c>
      <c r="H86" s="143">
        <f t="shared" si="6"/>
        <v>0</v>
      </c>
    </row>
    <row r="87" spans="1:8" s="3" customFormat="1" ht="12.75" thickBot="1">
      <c r="A87" s="99" t="s">
        <v>44</v>
      </c>
      <c r="B87" s="80" t="s">
        <v>918</v>
      </c>
      <c r="C87" s="44">
        <f>+C88+C98+C99+C100</f>
        <v>0</v>
      </c>
      <c r="D87" s="33">
        <f>+D88+D98+D99+D100</f>
        <v>0</v>
      </c>
      <c r="E87" s="34">
        <f>+E88+E98+E99+E100</f>
        <v>0</v>
      </c>
      <c r="F87" s="35">
        <f>+F88+F98+F99+F100</f>
        <v>0</v>
      </c>
      <c r="H87" s="143">
        <f t="shared" si="6"/>
        <v>0</v>
      </c>
    </row>
    <row r="88" spans="1:8">
      <c r="A88" s="100" t="s">
        <v>231</v>
      </c>
      <c r="B88" s="81" t="s">
        <v>970</v>
      </c>
      <c r="C88" s="36">
        <f>+C89+C90+C91+C92+C93+C94+C95+C96+C97</f>
        <v>0</v>
      </c>
      <c r="D88" s="41">
        <f>+D89+D90+D91+D92+D93+D94+D95+D96+D97</f>
        <v>0</v>
      </c>
      <c r="E88" s="11">
        <f>+E89+E90+E91+E92+E93+E94+E95+E96+E97</f>
        <v>0</v>
      </c>
      <c r="F88" s="42">
        <f>+F89+F90+F91+F92+F93+F94+F95+F96+F97</f>
        <v>0</v>
      </c>
      <c r="H88" s="141">
        <f t="shared" si="6"/>
        <v>0</v>
      </c>
    </row>
    <row r="89" spans="1:8" s="14" customFormat="1">
      <c r="A89" s="102" t="s">
        <v>232</v>
      </c>
      <c r="B89" s="82" t="s">
        <v>910</v>
      </c>
      <c r="C89" s="24">
        <f t="shared" ref="C89:C99" si="7">+D89+E89+F89</f>
        <v>0</v>
      </c>
      <c r="D89" s="20"/>
      <c r="E89" s="13"/>
      <c r="F89" s="16"/>
      <c r="H89" s="140">
        <f t="shared" si="6"/>
        <v>0</v>
      </c>
    </row>
    <row r="90" spans="1:8" s="14" customFormat="1">
      <c r="A90" s="102" t="s">
        <v>233</v>
      </c>
      <c r="B90" s="82" t="s">
        <v>246</v>
      </c>
      <c r="C90" s="24">
        <f t="shared" si="7"/>
        <v>0</v>
      </c>
      <c r="D90" s="20"/>
      <c r="E90" s="13"/>
      <c r="F90" s="16"/>
      <c r="H90" s="140">
        <f t="shared" si="6"/>
        <v>0</v>
      </c>
    </row>
    <row r="91" spans="1:8" s="14" customFormat="1">
      <c r="A91" s="102" t="s">
        <v>234</v>
      </c>
      <c r="B91" s="82" t="s">
        <v>247</v>
      </c>
      <c r="C91" s="24">
        <f t="shared" si="7"/>
        <v>0</v>
      </c>
      <c r="D91" s="20"/>
      <c r="E91" s="13"/>
      <c r="F91" s="16"/>
      <c r="H91" s="140">
        <f t="shared" si="6"/>
        <v>0</v>
      </c>
    </row>
    <row r="92" spans="1:8" s="14" customFormat="1">
      <c r="A92" s="102" t="s">
        <v>235</v>
      </c>
      <c r="B92" s="82" t="s">
        <v>248</v>
      </c>
      <c r="C92" s="24">
        <f t="shared" si="7"/>
        <v>0</v>
      </c>
      <c r="D92" s="20"/>
      <c r="E92" s="13"/>
      <c r="F92" s="16"/>
      <c r="H92" s="140">
        <f t="shared" si="6"/>
        <v>0</v>
      </c>
    </row>
    <row r="93" spans="1:8" s="14" customFormat="1">
      <c r="A93" s="102" t="s">
        <v>236</v>
      </c>
      <c r="B93" s="82" t="s">
        <v>249</v>
      </c>
      <c r="C93" s="24">
        <f t="shared" si="7"/>
        <v>0</v>
      </c>
      <c r="D93" s="20"/>
      <c r="E93" s="13"/>
      <c r="F93" s="16"/>
      <c r="H93" s="140">
        <f t="shared" si="6"/>
        <v>0</v>
      </c>
    </row>
    <row r="94" spans="1:8" s="14" customFormat="1">
      <c r="A94" s="127" t="s">
        <v>237</v>
      </c>
      <c r="B94" s="128" t="s">
        <v>250</v>
      </c>
      <c r="C94" s="24">
        <f t="shared" si="7"/>
        <v>0</v>
      </c>
      <c r="D94" s="20">
        <f>+D149-D50+D192-D89-D90-D91-D92-D93-D95-D96-D98-D99-D100</f>
        <v>0</v>
      </c>
      <c r="E94" s="13">
        <f>+E149-E50+E192-E89-E90-E91-E92-E93-E95-E96-E98-E99-E100</f>
        <v>0</v>
      </c>
      <c r="F94" s="16">
        <f>+F149-F50+F192-F89-F90-F91-F92-F93-F95-F96-F98-F99-F100</f>
        <v>0</v>
      </c>
      <c r="H94" s="140">
        <f t="shared" si="6"/>
        <v>0</v>
      </c>
    </row>
    <row r="95" spans="1:8" s="14" customFormat="1">
      <c r="A95" s="102" t="s">
        <v>238</v>
      </c>
      <c r="B95" s="82" t="s">
        <v>251</v>
      </c>
      <c r="C95" s="24">
        <f t="shared" si="7"/>
        <v>0</v>
      </c>
      <c r="D95" s="20"/>
      <c r="E95" s="13"/>
      <c r="F95" s="16"/>
      <c r="H95" s="14">
        <f t="shared" si="6"/>
        <v>0</v>
      </c>
    </row>
    <row r="96" spans="1:8" s="14" customFormat="1">
      <c r="A96" s="102" t="s">
        <v>239</v>
      </c>
      <c r="B96" s="82" t="s">
        <v>244</v>
      </c>
      <c r="C96" s="24">
        <f t="shared" si="7"/>
        <v>0</v>
      </c>
      <c r="D96" s="20"/>
      <c r="E96" s="13"/>
      <c r="F96" s="16"/>
      <c r="H96" s="14">
        <f t="shared" si="6"/>
        <v>0</v>
      </c>
    </row>
    <row r="97" spans="1:8" s="14" customFormat="1">
      <c r="A97" s="102" t="s">
        <v>917</v>
      </c>
      <c r="B97" s="82" t="s">
        <v>913</v>
      </c>
      <c r="C97" s="24">
        <f>+D97+E97+F97</f>
        <v>0</v>
      </c>
      <c r="D97" s="20"/>
      <c r="E97" s="13"/>
      <c r="F97" s="16"/>
      <c r="H97" s="14">
        <f t="shared" si="6"/>
        <v>0</v>
      </c>
    </row>
    <row r="98" spans="1:8">
      <c r="A98" s="101" t="s">
        <v>240</v>
      </c>
      <c r="B98" s="83" t="s">
        <v>242</v>
      </c>
      <c r="C98" s="23">
        <f t="shared" si="7"/>
        <v>0</v>
      </c>
      <c r="D98" s="21"/>
      <c r="E98" s="12"/>
      <c r="F98" s="17"/>
      <c r="H98" s="4">
        <f t="shared" si="6"/>
        <v>0</v>
      </c>
    </row>
    <row r="99" spans="1:8">
      <c r="A99" s="94" t="s">
        <v>241</v>
      </c>
      <c r="B99" s="84" t="s">
        <v>243</v>
      </c>
      <c r="C99" s="26">
        <f t="shared" si="7"/>
        <v>0</v>
      </c>
      <c r="D99" s="27"/>
      <c r="E99" s="28"/>
      <c r="F99" s="29"/>
      <c r="H99" s="4">
        <f t="shared" si="6"/>
        <v>0</v>
      </c>
    </row>
    <row r="100" spans="1:8" ht="12.75" thickBot="1">
      <c r="A100" s="94" t="s">
        <v>919</v>
      </c>
      <c r="B100" s="84" t="s">
        <v>915</v>
      </c>
      <c r="C100" s="26">
        <f>+D100+E100+F100</f>
        <v>0</v>
      </c>
      <c r="D100" s="27"/>
      <c r="E100" s="28"/>
      <c r="F100" s="29"/>
      <c r="H100" s="4">
        <f t="shared" si="6"/>
        <v>0</v>
      </c>
    </row>
    <row r="101" spans="1:8" s="3" customFormat="1" ht="12.75" thickBot="1">
      <c r="A101" s="99" t="s">
        <v>43</v>
      </c>
      <c r="B101" s="85" t="s">
        <v>305</v>
      </c>
      <c r="C101" s="44">
        <f>+C71+C86</f>
        <v>83600</v>
      </c>
      <c r="D101" s="33">
        <f>+D71+D86</f>
        <v>83600</v>
      </c>
      <c r="E101" s="34">
        <f>+E71+E86</f>
        <v>0</v>
      </c>
      <c r="F101" s="35">
        <f>+F71+F86</f>
        <v>0</v>
      </c>
      <c r="H101" s="3">
        <f t="shared" si="6"/>
        <v>0</v>
      </c>
    </row>
    <row r="102" spans="1:8" s="3" customFormat="1" ht="12.75" thickBot="1">
      <c r="A102" s="103" t="s">
        <v>40</v>
      </c>
      <c r="B102" s="87" t="s">
        <v>306</v>
      </c>
      <c r="C102" s="45">
        <f>+C70+C101</f>
        <v>83600</v>
      </c>
      <c r="D102" s="30">
        <f>+D70+D101</f>
        <v>83600</v>
      </c>
      <c r="E102" s="31">
        <f>+E70+E101</f>
        <v>0</v>
      </c>
      <c r="F102" s="32">
        <f>+F70+F101</f>
        <v>0</v>
      </c>
      <c r="H102" s="3">
        <f t="shared" si="6"/>
        <v>0</v>
      </c>
    </row>
    <row r="103" spans="1:8" s="3" customFormat="1">
      <c r="A103" s="66"/>
      <c r="B103" s="37"/>
      <c r="C103" s="37"/>
      <c r="D103" s="37"/>
      <c r="E103" s="37"/>
      <c r="F103" s="37"/>
    </row>
    <row r="104" spans="1:8" s="3" customFormat="1">
      <c r="A104" s="66"/>
      <c r="B104" s="37"/>
      <c r="C104" s="37"/>
      <c r="D104" s="37"/>
      <c r="E104" s="37"/>
      <c r="F104" s="37"/>
    </row>
    <row r="105" spans="1:8" s="65" customFormat="1" ht="15.75">
      <c r="A105" s="1210" t="s">
        <v>80</v>
      </c>
      <c r="B105" s="1210"/>
      <c r="C105" s="1210"/>
      <c r="D105" s="1210"/>
      <c r="E105" s="1210"/>
      <c r="F105" s="1210"/>
    </row>
    <row r="106" spans="1:8" s="46" customFormat="1" ht="12.75" thickBot="1">
      <c r="A106" s="48" t="s">
        <v>278</v>
      </c>
      <c r="F106" s="47" t="s">
        <v>280</v>
      </c>
    </row>
    <row r="107" spans="1:8" s="3" customFormat="1" ht="48.75" thickBot="1">
      <c r="A107" s="95" t="s">
        <v>17</v>
      </c>
      <c r="B107" s="96" t="s">
        <v>328</v>
      </c>
      <c r="C107" s="49" t="s">
        <v>1442</v>
      </c>
      <c r="D107" s="6" t="s">
        <v>51</v>
      </c>
      <c r="E107" s="7" t="s">
        <v>52</v>
      </c>
      <c r="F107" s="8" t="s">
        <v>53</v>
      </c>
    </row>
    <row r="108" spans="1:8" s="3" customFormat="1" ht="12.75" thickBot="1">
      <c r="A108" s="97" t="s">
        <v>252</v>
      </c>
      <c r="B108" s="98" t="s">
        <v>253</v>
      </c>
      <c r="C108" s="1215" t="s">
        <v>254</v>
      </c>
      <c r="D108" s="1216"/>
      <c r="E108" s="1216"/>
      <c r="F108" s="1217"/>
    </row>
    <row r="109" spans="1:8" s="3" customFormat="1" ht="12.75" thickBot="1">
      <c r="A109" s="99" t="s">
        <v>4</v>
      </c>
      <c r="B109" s="85" t="s">
        <v>307</v>
      </c>
      <c r="C109" s="44">
        <f>+C110+C114+C116+C123+C132</f>
        <v>83600</v>
      </c>
      <c r="D109" s="33">
        <f>+D110+D114+D116+D123+D132</f>
        <v>83600</v>
      </c>
      <c r="E109" s="34">
        <f>+E110+E114+E116+E123+E132</f>
        <v>0</v>
      </c>
      <c r="F109" s="35">
        <f>+F110+F114+F116+F123+F132</f>
        <v>0</v>
      </c>
      <c r="H109" s="3">
        <f t="shared" si="6"/>
        <v>0</v>
      </c>
    </row>
    <row r="110" spans="1:8" s="3" customFormat="1" ht="12.75" thickBot="1">
      <c r="A110" s="99" t="s">
        <v>5</v>
      </c>
      <c r="B110" s="80" t="s">
        <v>308</v>
      </c>
      <c r="C110" s="44">
        <f>+C112+C113</f>
        <v>61539</v>
      </c>
      <c r="D110" s="33">
        <f>+D112+D113</f>
        <v>61539</v>
      </c>
      <c r="E110" s="34">
        <f>+E112+E113</f>
        <v>0</v>
      </c>
      <c r="F110" s="35">
        <f>+F112+F113</f>
        <v>0</v>
      </c>
      <c r="H110" s="3">
        <f t="shared" si="6"/>
        <v>0</v>
      </c>
    </row>
    <row r="111" spans="1:8" s="46" customFormat="1">
      <c r="A111" s="895" t="s">
        <v>348</v>
      </c>
      <c r="B111" s="896" t="s">
        <v>349</v>
      </c>
      <c r="C111" s="112">
        <f>+D111+E111+F111</f>
        <v>0</v>
      </c>
      <c r="D111" s="113"/>
      <c r="E111" s="114"/>
      <c r="F111" s="115"/>
      <c r="H111" s="46">
        <f t="shared" si="6"/>
        <v>0</v>
      </c>
    </row>
    <row r="112" spans="1:8">
      <c r="A112" s="100" t="s">
        <v>54</v>
      </c>
      <c r="B112" s="81" t="s">
        <v>126</v>
      </c>
      <c r="C112" s="36">
        <f>+D112+E112+F112</f>
        <v>61239</v>
      </c>
      <c r="D112" s="41">
        <v>61239</v>
      </c>
      <c r="E112" s="11"/>
      <c r="F112" s="42"/>
      <c r="H112" s="4">
        <f t="shared" si="6"/>
        <v>0</v>
      </c>
    </row>
    <row r="113" spans="1:8" ht="12.75" thickBot="1">
      <c r="A113" s="94" t="s">
        <v>55</v>
      </c>
      <c r="B113" s="84" t="s">
        <v>127</v>
      </c>
      <c r="C113" s="26">
        <f>+D113+E113+F113</f>
        <v>300</v>
      </c>
      <c r="D113" s="27">
        <v>300</v>
      </c>
      <c r="E113" s="28"/>
      <c r="F113" s="29"/>
      <c r="H113" s="4">
        <f t="shared" si="6"/>
        <v>0</v>
      </c>
    </row>
    <row r="114" spans="1:8" s="3" customFormat="1" ht="12.75" thickBot="1">
      <c r="A114" s="99" t="s">
        <v>6</v>
      </c>
      <c r="B114" s="80" t="s">
        <v>255</v>
      </c>
      <c r="C114" s="44">
        <f>+D114+E114+F114</f>
        <v>10823</v>
      </c>
      <c r="D114" s="33">
        <v>10823</v>
      </c>
      <c r="E114" s="34"/>
      <c r="F114" s="35"/>
      <c r="H114" s="3">
        <f t="shared" si="6"/>
        <v>0</v>
      </c>
    </row>
    <row r="115" spans="1:8" s="46" customFormat="1" ht="12.75" thickBot="1">
      <c r="A115" s="895" t="s">
        <v>345</v>
      </c>
      <c r="B115" s="896" t="s">
        <v>346</v>
      </c>
      <c r="C115" s="112">
        <f>+D115+E115+F115</f>
        <v>0</v>
      </c>
      <c r="D115" s="113"/>
      <c r="E115" s="114"/>
      <c r="F115" s="115"/>
      <c r="H115" s="46">
        <f t="shared" si="6"/>
        <v>0</v>
      </c>
    </row>
    <row r="116" spans="1:8" s="3" customFormat="1" ht="12.75" thickBot="1">
      <c r="A116" s="99" t="s">
        <v>3</v>
      </c>
      <c r="B116" s="80" t="s">
        <v>342</v>
      </c>
      <c r="C116" s="44">
        <f>+C118+C119+C120+C121+C122</f>
        <v>11238</v>
      </c>
      <c r="D116" s="33">
        <f>+D118+D119+D120+D121+D122</f>
        <v>11238</v>
      </c>
      <c r="E116" s="34">
        <f>+E118+E119+E120+E121+E122</f>
        <v>0</v>
      </c>
      <c r="F116" s="35">
        <f>+F118+F119+F120+F121+F122</f>
        <v>0</v>
      </c>
      <c r="H116" s="3">
        <f t="shared" si="6"/>
        <v>0</v>
      </c>
    </row>
    <row r="117" spans="1:8" s="46" customFormat="1">
      <c r="A117" s="895" t="s">
        <v>340</v>
      </c>
      <c r="B117" s="896" t="s">
        <v>347</v>
      </c>
      <c r="C117" s="112">
        <f t="shared" ref="C117:C122" si="8">+D117+E117+F117</f>
        <v>0</v>
      </c>
      <c r="D117" s="113"/>
      <c r="E117" s="114"/>
      <c r="F117" s="115"/>
      <c r="H117" s="46">
        <f t="shared" si="6"/>
        <v>0</v>
      </c>
    </row>
    <row r="118" spans="1:8">
      <c r="A118" s="100" t="s">
        <v>61</v>
      </c>
      <c r="B118" s="81" t="s">
        <v>128</v>
      </c>
      <c r="C118" s="36">
        <f t="shared" si="8"/>
        <v>1240</v>
      </c>
      <c r="D118" s="41">
        <v>1240</v>
      </c>
      <c r="E118" s="11"/>
      <c r="F118" s="42"/>
      <c r="H118" s="4">
        <f t="shared" si="6"/>
        <v>0</v>
      </c>
    </row>
    <row r="119" spans="1:8">
      <c r="A119" s="101" t="s">
        <v>62</v>
      </c>
      <c r="B119" s="83" t="s">
        <v>129</v>
      </c>
      <c r="C119" s="23">
        <f t="shared" si="8"/>
        <v>1550</v>
      </c>
      <c r="D119" s="21">
        <v>1550</v>
      </c>
      <c r="E119" s="12"/>
      <c r="F119" s="17"/>
      <c r="H119" s="4">
        <f t="shared" si="6"/>
        <v>0</v>
      </c>
    </row>
    <row r="120" spans="1:8">
      <c r="A120" s="101" t="s">
        <v>63</v>
      </c>
      <c r="B120" s="83" t="s">
        <v>130</v>
      </c>
      <c r="C120" s="23">
        <f t="shared" si="8"/>
        <v>6400</v>
      </c>
      <c r="D120" s="21">
        <v>6400</v>
      </c>
      <c r="E120" s="12"/>
      <c r="F120" s="17"/>
      <c r="H120" s="4">
        <f t="shared" si="6"/>
        <v>0</v>
      </c>
    </row>
    <row r="121" spans="1:8">
      <c r="A121" s="101" t="s">
        <v>64</v>
      </c>
      <c r="B121" s="83" t="s">
        <v>131</v>
      </c>
      <c r="C121" s="23">
        <f t="shared" si="8"/>
        <v>1000</v>
      </c>
      <c r="D121" s="21">
        <v>1000</v>
      </c>
      <c r="E121" s="12"/>
      <c r="F121" s="17"/>
      <c r="H121" s="4">
        <f t="shared" si="6"/>
        <v>0</v>
      </c>
    </row>
    <row r="122" spans="1:8" ht="12.75" thickBot="1">
      <c r="A122" s="94" t="s">
        <v>65</v>
      </c>
      <c r="B122" s="84" t="s">
        <v>132</v>
      </c>
      <c r="C122" s="26">
        <f t="shared" si="8"/>
        <v>1048</v>
      </c>
      <c r="D122" s="27">
        <v>1048</v>
      </c>
      <c r="E122" s="28"/>
      <c r="F122" s="29"/>
      <c r="H122" s="4">
        <f t="shared" si="6"/>
        <v>0</v>
      </c>
    </row>
    <row r="123" spans="1:8" s="3" customFormat="1" ht="12.75" thickBot="1">
      <c r="A123" s="99" t="s">
        <v>16</v>
      </c>
      <c r="B123" s="80" t="s">
        <v>309</v>
      </c>
      <c r="C123" s="44">
        <f>+C124+C125+C126+C127+C128+C129+C130+C131</f>
        <v>0</v>
      </c>
      <c r="D123" s="33">
        <f>+D124+D125+D126+D127+D128+D129+D130+D131</f>
        <v>0</v>
      </c>
      <c r="E123" s="34">
        <f>+E124+E125+E126+E127+E128+E129+E130+E131</f>
        <v>0</v>
      </c>
      <c r="F123" s="35">
        <f>+F124+F125+F126+F127+F128+F129+F130+F131</f>
        <v>0</v>
      </c>
      <c r="H123" s="3">
        <f t="shared" si="6"/>
        <v>0</v>
      </c>
    </row>
    <row r="124" spans="1:8">
      <c r="A124" s="100" t="s">
        <v>226</v>
      </c>
      <c r="B124" s="81" t="s">
        <v>133</v>
      </c>
      <c r="C124" s="36">
        <f t="shared" ref="C124:C131" si="9">+D124+E124+F124</f>
        <v>0</v>
      </c>
      <c r="D124" s="41"/>
      <c r="E124" s="11"/>
      <c r="F124" s="42"/>
      <c r="H124" s="4">
        <f t="shared" si="6"/>
        <v>0</v>
      </c>
    </row>
    <row r="125" spans="1:8">
      <c r="A125" s="101" t="s">
        <v>227</v>
      </c>
      <c r="B125" s="83" t="s">
        <v>134</v>
      </c>
      <c r="C125" s="23">
        <f t="shared" si="9"/>
        <v>0</v>
      </c>
      <c r="D125" s="21"/>
      <c r="E125" s="12"/>
      <c r="F125" s="17"/>
      <c r="H125" s="4">
        <f t="shared" si="6"/>
        <v>0</v>
      </c>
    </row>
    <row r="126" spans="1:8">
      <c r="A126" s="101" t="s">
        <v>228</v>
      </c>
      <c r="B126" s="83" t="s">
        <v>135</v>
      </c>
      <c r="C126" s="23">
        <f t="shared" si="9"/>
        <v>0</v>
      </c>
      <c r="D126" s="21"/>
      <c r="E126" s="12"/>
      <c r="F126" s="17"/>
      <c r="H126" s="4">
        <f t="shared" si="6"/>
        <v>0</v>
      </c>
    </row>
    <row r="127" spans="1:8">
      <c r="A127" s="101" t="s">
        <v>256</v>
      </c>
      <c r="B127" s="83" t="s">
        <v>136</v>
      </c>
      <c r="C127" s="23">
        <f t="shared" si="9"/>
        <v>0</v>
      </c>
      <c r="D127" s="21"/>
      <c r="E127" s="12"/>
      <c r="F127" s="17"/>
      <c r="H127" s="4">
        <f t="shared" si="6"/>
        <v>0</v>
      </c>
    </row>
    <row r="128" spans="1:8">
      <c r="A128" s="101" t="s">
        <v>257</v>
      </c>
      <c r="B128" s="83" t="s">
        <v>137</v>
      </c>
      <c r="C128" s="23">
        <f t="shared" si="9"/>
        <v>0</v>
      </c>
      <c r="D128" s="21"/>
      <c r="E128" s="12"/>
      <c r="F128" s="17"/>
      <c r="H128" s="4">
        <f t="shared" si="6"/>
        <v>0</v>
      </c>
    </row>
    <row r="129" spans="1:8">
      <c r="A129" s="101" t="s">
        <v>258</v>
      </c>
      <c r="B129" s="83" t="s">
        <v>138</v>
      </c>
      <c r="C129" s="23">
        <f t="shared" si="9"/>
        <v>0</v>
      </c>
      <c r="D129" s="21"/>
      <c r="E129" s="12"/>
      <c r="F129" s="17"/>
      <c r="H129" s="4">
        <f t="shared" si="6"/>
        <v>0</v>
      </c>
    </row>
    <row r="130" spans="1:8">
      <c r="A130" s="101" t="s">
        <v>259</v>
      </c>
      <c r="B130" s="83" t="s">
        <v>139</v>
      </c>
      <c r="C130" s="23">
        <f t="shared" si="9"/>
        <v>0</v>
      </c>
      <c r="D130" s="21"/>
      <c r="E130" s="12"/>
      <c r="F130" s="17"/>
      <c r="H130" s="4">
        <f t="shared" si="6"/>
        <v>0</v>
      </c>
    </row>
    <row r="131" spans="1:8" ht="12.75" thickBot="1">
      <c r="A131" s="94" t="s">
        <v>260</v>
      </c>
      <c r="B131" s="84" t="s">
        <v>140</v>
      </c>
      <c r="C131" s="26">
        <f t="shared" si="9"/>
        <v>0</v>
      </c>
      <c r="D131" s="27"/>
      <c r="E131" s="28"/>
      <c r="F131" s="29"/>
      <c r="H131" s="4">
        <f t="shared" si="6"/>
        <v>0</v>
      </c>
    </row>
    <row r="132" spans="1:8" s="3" customFormat="1" ht="12.75" thickBot="1">
      <c r="A132" s="99" t="s">
        <v>15</v>
      </c>
      <c r="B132" s="80" t="s">
        <v>923</v>
      </c>
      <c r="C132" s="44">
        <f>+C133+C134+C135+C136+C137+C138+C140+C141+C142+C143+C144+C145+C146</f>
        <v>0</v>
      </c>
      <c r="D132" s="33">
        <f>+D133+D134+D135+D136+D137+D138+D140+D141+D142+D143+D144+D145+D146</f>
        <v>0</v>
      </c>
      <c r="E132" s="34">
        <f>+E133+E134+E135+E136+E137+E138+E140+E141+E142+E143+E144+E145+E146</f>
        <v>0</v>
      </c>
      <c r="F132" s="35">
        <f>+F133+F134+F135+F136+F137+F138+F140+F141+F142+F143+F144+F145+F146</f>
        <v>0</v>
      </c>
      <c r="H132" s="3">
        <f t="shared" si="6"/>
        <v>0</v>
      </c>
    </row>
    <row r="133" spans="1:8">
      <c r="A133" s="100" t="s">
        <v>87</v>
      </c>
      <c r="B133" s="81" t="s">
        <v>141</v>
      </c>
      <c r="C133" s="36">
        <f t="shared" ref="C133:C145" si="10">+D133+E133+F133</f>
        <v>0</v>
      </c>
      <c r="D133" s="41"/>
      <c r="E133" s="11"/>
      <c r="F133" s="42"/>
      <c r="H133" s="4">
        <f t="shared" si="6"/>
        <v>0</v>
      </c>
    </row>
    <row r="134" spans="1:8">
      <c r="A134" s="101" t="s">
        <v>88</v>
      </c>
      <c r="B134" s="83" t="s">
        <v>142</v>
      </c>
      <c r="C134" s="23">
        <f t="shared" si="10"/>
        <v>0</v>
      </c>
      <c r="D134" s="21"/>
      <c r="E134" s="12"/>
      <c r="F134" s="17"/>
      <c r="H134" s="4">
        <f t="shared" si="6"/>
        <v>0</v>
      </c>
    </row>
    <row r="135" spans="1:8">
      <c r="A135" s="101" t="s">
        <v>181</v>
      </c>
      <c r="B135" s="83" t="s">
        <v>143</v>
      </c>
      <c r="C135" s="23">
        <f t="shared" si="10"/>
        <v>0</v>
      </c>
      <c r="D135" s="21"/>
      <c r="E135" s="12"/>
      <c r="F135" s="17"/>
      <c r="H135" s="4">
        <f t="shared" si="6"/>
        <v>0</v>
      </c>
    </row>
    <row r="136" spans="1:8">
      <c r="A136" s="101" t="s">
        <v>182</v>
      </c>
      <c r="B136" s="83" t="s">
        <v>144</v>
      </c>
      <c r="C136" s="23">
        <f t="shared" si="10"/>
        <v>0</v>
      </c>
      <c r="D136" s="21"/>
      <c r="E136" s="12"/>
      <c r="F136" s="17"/>
      <c r="H136" s="4">
        <f t="shared" si="6"/>
        <v>0</v>
      </c>
    </row>
    <row r="137" spans="1:8">
      <c r="A137" s="101" t="s">
        <v>183</v>
      </c>
      <c r="B137" s="83" t="s">
        <v>145</v>
      </c>
      <c r="C137" s="23">
        <f t="shared" si="10"/>
        <v>0</v>
      </c>
      <c r="D137" s="21"/>
      <c r="E137" s="12"/>
      <c r="F137" s="17"/>
      <c r="H137" s="4">
        <f t="shared" si="6"/>
        <v>0</v>
      </c>
    </row>
    <row r="138" spans="1:8">
      <c r="A138" s="101" t="s">
        <v>261</v>
      </c>
      <c r="B138" s="83" t="s">
        <v>146</v>
      </c>
      <c r="C138" s="23">
        <f t="shared" si="10"/>
        <v>0</v>
      </c>
      <c r="D138" s="21"/>
      <c r="E138" s="12"/>
      <c r="F138" s="17"/>
      <c r="H138" s="4">
        <f t="shared" si="6"/>
        <v>0</v>
      </c>
    </row>
    <row r="139" spans="1:8" s="14" customFormat="1">
      <c r="A139" s="105" t="s">
        <v>335</v>
      </c>
      <c r="B139" s="894" t="s">
        <v>929</v>
      </c>
      <c r="C139" s="58">
        <f t="shared" si="10"/>
        <v>0</v>
      </c>
      <c r="D139" s="56"/>
      <c r="E139" s="54"/>
      <c r="F139" s="55"/>
      <c r="H139" s="14">
        <f t="shared" ref="H139:H202" si="11">+C139-D139-E139-F139</f>
        <v>0</v>
      </c>
    </row>
    <row r="140" spans="1:8">
      <c r="A140" s="101" t="s">
        <v>262</v>
      </c>
      <c r="B140" s="83" t="s">
        <v>147</v>
      </c>
      <c r="C140" s="23">
        <f t="shared" si="10"/>
        <v>0</v>
      </c>
      <c r="D140" s="21"/>
      <c r="E140" s="12"/>
      <c r="F140" s="17"/>
      <c r="H140" s="4">
        <f t="shared" si="11"/>
        <v>0</v>
      </c>
    </row>
    <row r="141" spans="1:8">
      <c r="A141" s="101" t="s">
        <v>263</v>
      </c>
      <c r="B141" s="83" t="s">
        <v>148</v>
      </c>
      <c r="C141" s="23">
        <f t="shared" si="10"/>
        <v>0</v>
      </c>
      <c r="D141" s="21"/>
      <c r="E141" s="12"/>
      <c r="F141" s="17"/>
      <c r="H141" s="4">
        <f t="shared" si="11"/>
        <v>0</v>
      </c>
    </row>
    <row r="142" spans="1:8">
      <c r="A142" s="101" t="s">
        <v>264</v>
      </c>
      <c r="B142" s="83" t="s">
        <v>149</v>
      </c>
      <c r="C142" s="23">
        <f t="shared" si="10"/>
        <v>0</v>
      </c>
      <c r="D142" s="21"/>
      <c r="E142" s="12"/>
      <c r="F142" s="17"/>
      <c r="H142" s="4">
        <f t="shared" si="11"/>
        <v>0</v>
      </c>
    </row>
    <row r="143" spans="1:8">
      <c r="A143" s="101" t="s">
        <v>265</v>
      </c>
      <c r="B143" s="83" t="s">
        <v>150</v>
      </c>
      <c r="C143" s="23">
        <f t="shared" si="10"/>
        <v>0</v>
      </c>
      <c r="D143" s="21"/>
      <c r="E143" s="12"/>
      <c r="F143" s="17"/>
      <c r="H143" s="4">
        <f t="shared" si="11"/>
        <v>0</v>
      </c>
    </row>
    <row r="144" spans="1:8">
      <c r="A144" s="101" t="s">
        <v>266</v>
      </c>
      <c r="B144" s="83" t="s">
        <v>924</v>
      </c>
      <c r="C144" s="23">
        <f>+D144+E144+F144</f>
        <v>0</v>
      </c>
      <c r="D144" s="21"/>
      <c r="E144" s="12"/>
      <c r="F144" s="17"/>
      <c r="H144" s="4">
        <f t="shared" si="11"/>
        <v>0</v>
      </c>
    </row>
    <row r="145" spans="1:8">
      <c r="A145" s="101" t="s">
        <v>267</v>
      </c>
      <c r="B145" s="83" t="s">
        <v>925</v>
      </c>
      <c r="C145" s="23">
        <f t="shared" si="10"/>
        <v>0</v>
      </c>
      <c r="D145" s="21"/>
      <c r="E145" s="12"/>
      <c r="F145" s="17"/>
      <c r="H145" s="4">
        <f t="shared" si="11"/>
        <v>0</v>
      </c>
    </row>
    <row r="146" spans="1:8">
      <c r="A146" s="94" t="s">
        <v>920</v>
      </c>
      <c r="B146" s="84" t="s">
        <v>926</v>
      </c>
      <c r="C146" s="26">
        <f>+C147+C148</f>
        <v>0</v>
      </c>
      <c r="D146" s="27">
        <f>+D147+D148</f>
        <v>0</v>
      </c>
      <c r="E146" s="28">
        <f>+E147+E148</f>
        <v>0</v>
      </c>
      <c r="F146" s="29">
        <f>+F147+F148</f>
        <v>0</v>
      </c>
      <c r="H146" s="4">
        <f t="shared" si="11"/>
        <v>0</v>
      </c>
    </row>
    <row r="147" spans="1:8" s="14" customFormat="1">
      <c r="A147" s="105" t="s">
        <v>921</v>
      </c>
      <c r="B147" s="90" t="s">
        <v>927</v>
      </c>
      <c r="C147" s="58">
        <f>+D147+E147+F147</f>
        <v>0</v>
      </c>
      <c r="D147" s="56"/>
      <c r="E147" s="54"/>
      <c r="F147" s="55"/>
      <c r="H147" s="14">
        <f t="shared" si="11"/>
        <v>0</v>
      </c>
    </row>
    <row r="148" spans="1:8" s="14" customFormat="1" ht="12.75" thickBot="1">
      <c r="A148" s="105" t="s">
        <v>922</v>
      </c>
      <c r="B148" s="90" t="s">
        <v>928</v>
      </c>
      <c r="C148" s="58">
        <f>+D148+E148+F148</f>
        <v>0</v>
      </c>
      <c r="D148" s="56"/>
      <c r="E148" s="54"/>
      <c r="F148" s="55"/>
      <c r="H148" s="14">
        <f t="shared" si="11"/>
        <v>0</v>
      </c>
    </row>
    <row r="149" spans="1:8" s="3" customFormat="1" ht="12.75" thickBot="1">
      <c r="A149" s="99" t="s">
        <v>14</v>
      </c>
      <c r="B149" s="85" t="s">
        <v>310</v>
      </c>
      <c r="C149" s="44">
        <f>+C150+C159+C165</f>
        <v>0</v>
      </c>
      <c r="D149" s="33">
        <f>+D150+D159+D165</f>
        <v>0</v>
      </c>
      <c r="E149" s="34">
        <f>+E150+E159+E165</f>
        <v>0</v>
      </c>
      <c r="F149" s="35">
        <f>+F150+F159+F165</f>
        <v>0</v>
      </c>
      <c r="H149" s="3">
        <f t="shared" si="11"/>
        <v>0</v>
      </c>
    </row>
    <row r="150" spans="1:8" s="3" customFormat="1" ht="12.75" thickBot="1">
      <c r="A150" s="99" t="s">
        <v>13</v>
      </c>
      <c r="B150" s="80" t="s">
        <v>311</v>
      </c>
      <c r="C150" s="44">
        <f>+C152+C153+C154+C155+C156+C157+C158</f>
        <v>0</v>
      </c>
      <c r="D150" s="33">
        <f>+D152+D153+D154+D155+D156+D157+D158</f>
        <v>0</v>
      </c>
      <c r="E150" s="34">
        <f>+E152+E153+E154+E155+E156+E157+E158</f>
        <v>0</v>
      </c>
      <c r="F150" s="35">
        <f>+F152+F153+F154+F155+F156+F157+F158</f>
        <v>0</v>
      </c>
      <c r="H150" s="3">
        <f t="shared" si="11"/>
        <v>0</v>
      </c>
    </row>
    <row r="151" spans="1:8" s="46" customFormat="1">
      <c r="A151" s="895" t="s">
        <v>930</v>
      </c>
      <c r="B151" s="896" t="s">
        <v>341</v>
      </c>
      <c r="C151" s="112">
        <f t="shared" ref="C151:C158" si="12">+D151+E151+F151</f>
        <v>0</v>
      </c>
      <c r="D151" s="113"/>
      <c r="E151" s="114"/>
      <c r="F151" s="115"/>
      <c r="H151" s="46">
        <f t="shared" si="11"/>
        <v>0</v>
      </c>
    </row>
    <row r="152" spans="1:8">
      <c r="A152" s="100" t="s">
        <v>66</v>
      </c>
      <c r="B152" s="81" t="s">
        <v>151</v>
      </c>
      <c r="C152" s="36">
        <f t="shared" si="12"/>
        <v>0</v>
      </c>
      <c r="D152" s="41"/>
      <c r="E152" s="11"/>
      <c r="F152" s="42"/>
      <c r="H152" s="4">
        <f t="shared" si="11"/>
        <v>0</v>
      </c>
    </row>
    <row r="153" spans="1:8">
      <c r="A153" s="101" t="s">
        <v>67</v>
      </c>
      <c r="B153" s="83" t="s">
        <v>152</v>
      </c>
      <c r="C153" s="23">
        <f t="shared" si="12"/>
        <v>0</v>
      </c>
      <c r="D153" s="21"/>
      <c r="E153" s="12"/>
      <c r="F153" s="17"/>
      <c r="H153" s="4">
        <f t="shared" si="11"/>
        <v>0</v>
      </c>
    </row>
    <row r="154" spans="1:8">
      <c r="A154" s="101" t="s">
        <v>68</v>
      </c>
      <c r="B154" s="83" t="s">
        <v>153</v>
      </c>
      <c r="C154" s="23">
        <f t="shared" si="12"/>
        <v>0</v>
      </c>
      <c r="D154" s="21"/>
      <c r="E154" s="12"/>
      <c r="F154" s="17"/>
      <c r="H154" s="4">
        <f t="shared" si="11"/>
        <v>0</v>
      </c>
    </row>
    <row r="155" spans="1:8">
      <c r="A155" s="101" t="s">
        <v>229</v>
      </c>
      <c r="B155" s="83" t="s">
        <v>154</v>
      </c>
      <c r="C155" s="23">
        <f t="shared" si="12"/>
        <v>0</v>
      </c>
      <c r="D155" s="21"/>
      <c r="E155" s="12"/>
      <c r="F155" s="17"/>
      <c r="H155" s="4">
        <f t="shared" si="11"/>
        <v>0</v>
      </c>
    </row>
    <row r="156" spans="1:8">
      <c r="A156" s="101" t="s">
        <v>230</v>
      </c>
      <c r="B156" s="83" t="s">
        <v>155</v>
      </c>
      <c r="C156" s="23">
        <f t="shared" si="12"/>
        <v>0</v>
      </c>
      <c r="D156" s="21"/>
      <c r="E156" s="12"/>
      <c r="F156" s="17"/>
      <c r="H156" s="4">
        <f t="shared" si="11"/>
        <v>0</v>
      </c>
    </row>
    <row r="157" spans="1:8">
      <c r="A157" s="101" t="s">
        <v>268</v>
      </c>
      <c r="B157" s="83" t="s">
        <v>156</v>
      </c>
      <c r="C157" s="23">
        <f t="shared" si="12"/>
        <v>0</v>
      </c>
      <c r="D157" s="21"/>
      <c r="E157" s="12"/>
      <c r="F157" s="17"/>
      <c r="H157" s="4">
        <f t="shared" si="11"/>
        <v>0</v>
      </c>
    </row>
    <row r="158" spans="1:8" ht="12.75" thickBot="1">
      <c r="A158" s="94" t="s">
        <v>269</v>
      </c>
      <c r="B158" s="84" t="s">
        <v>157</v>
      </c>
      <c r="C158" s="26">
        <f t="shared" si="12"/>
        <v>0</v>
      </c>
      <c r="D158" s="27"/>
      <c r="E158" s="28"/>
      <c r="F158" s="29"/>
      <c r="H158" s="4">
        <f t="shared" si="11"/>
        <v>0</v>
      </c>
    </row>
    <row r="159" spans="1:8" s="3" customFormat="1" ht="12.75" thickBot="1">
      <c r="A159" s="99" t="s">
        <v>12</v>
      </c>
      <c r="B159" s="80" t="s">
        <v>312</v>
      </c>
      <c r="C159" s="44">
        <f>+C161+C162+C163+C164</f>
        <v>0</v>
      </c>
      <c r="D159" s="33">
        <f>+D161+D162+D163+D164</f>
        <v>0</v>
      </c>
      <c r="E159" s="34">
        <f>+E161+E162+E163+E164</f>
        <v>0</v>
      </c>
      <c r="F159" s="35">
        <f>+F161+F162+F163+F164</f>
        <v>0</v>
      </c>
      <c r="H159" s="3">
        <f t="shared" si="11"/>
        <v>0</v>
      </c>
    </row>
    <row r="160" spans="1:8" s="46" customFormat="1">
      <c r="A160" s="895" t="s">
        <v>343</v>
      </c>
      <c r="B160" s="896" t="s">
        <v>344</v>
      </c>
      <c r="C160" s="112">
        <f>+D160+E160+F160</f>
        <v>0</v>
      </c>
      <c r="D160" s="113"/>
      <c r="E160" s="114"/>
      <c r="F160" s="115"/>
      <c r="H160" s="46">
        <f t="shared" si="11"/>
        <v>0</v>
      </c>
    </row>
    <row r="161" spans="1:8">
      <c r="A161" s="100" t="s">
        <v>69</v>
      </c>
      <c r="B161" s="81" t="s">
        <v>158</v>
      </c>
      <c r="C161" s="36">
        <f>+D161+E161+F161</f>
        <v>0</v>
      </c>
      <c r="D161" s="41"/>
      <c r="E161" s="11"/>
      <c r="F161" s="42"/>
      <c r="H161" s="4">
        <f t="shared" si="11"/>
        <v>0</v>
      </c>
    </row>
    <row r="162" spans="1:8">
      <c r="A162" s="101" t="s">
        <v>70</v>
      </c>
      <c r="B162" s="83" t="s">
        <v>159</v>
      </c>
      <c r="C162" s="23">
        <f>+D162+E162+F162</f>
        <v>0</v>
      </c>
      <c r="D162" s="21"/>
      <c r="E162" s="12"/>
      <c r="F162" s="17"/>
      <c r="H162" s="4">
        <f t="shared" si="11"/>
        <v>0</v>
      </c>
    </row>
    <row r="163" spans="1:8">
      <c r="A163" s="101" t="s">
        <v>71</v>
      </c>
      <c r="B163" s="83" t="s">
        <v>160</v>
      </c>
      <c r="C163" s="23">
        <f>+D163+E163+F163</f>
        <v>0</v>
      </c>
      <c r="D163" s="21"/>
      <c r="E163" s="12"/>
      <c r="F163" s="17"/>
      <c r="H163" s="4">
        <f t="shared" si="11"/>
        <v>0</v>
      </c>
    </row>
    <row r="164" spans="1:8" ht="12.75" thickBot="1">
      <c r="A164" s="94" t="s">
        <v>72</v>
      </c>
      <c r="B164" s="84" t="s">
        <v>161</v>
      </c>
      <c r="C164" s="26">
        <f>+D164+E164+F164</f>
        <v>0</v>
      </c>
      <c r="D164" s="27"/>
      <c r="E164" s="28"/>
      <c r="F164" s="29"/>
      <c r="H164" s="4">
        <f t="shared" si="11"/>
        <v>0</v>
      </c>
    </row>
    <row r="165" spans="1:8" s="3" customFormat="1" ht="12.75" thickBot="1">
      <c r="A165" s="99" t="s">
        <v>11</v>
      </c>
      <c r="B165" s="80" t="s">
        <v>932</v>
      </c>
      <c r="C165" s="44">
        <f>+C166+C167+C168+C169+C171+C172+C173+C174+C175</f>
        <v>0</v>
      </c>
      <c r="D165" s="33">
        <f>+D166+D167+D168+D169+D171+D172+D173+D174+D175</f>
        <v>0</v>
      </c>
      <c r="E165" s="34">
        <f>+E166+E167+E168+E169+E171+E172+E173+E174+E175</f>
        <v>0</v>
      </c>
      <c r="F165" s="35">
        <f>+F166+F167+F168+F169+F171+F172+F173+F174+F175</f>
        <v>0</v>
      </c>
      <c r="H165" s="3">
        <f t="shared" si="11"/>
        <v>0</v>
      </c>
    </row>
    <row r="166" spans="1:8">
      <c r="A166" s="100" t="s">
        <v>270</v>
      </c>
      <c r="B166" s="81" t="s">
        <v>162</v>
      </c>
      <c r="C166" s="36">
        <f t="shared" ref="C166:C175" si="13">+D166+E166+F166</f>
        <v>0</v>
      </c>
      <c r="D166" s="41"/>
      <c r="E166" s="11"/>
      <c r="F166" s="42"/>
      <c r="H166" s="4">
        <f t="shared" si="11"/>
        <v>0</v>
      </c>
    </row>
    <row r="167" spans="1:8">
      <c r="A167" s="101" t="s">
        <v>271</v>
      </c>
      <c r="B167" s="83" t="s">
        <v>163</v>
      </c>
      <c r="C167" s="23">
        <f t="shared" si="13"/>
        <v>0</v>
      </c>
      <c r="D167" s="21"/>
      <c r="E167" s="12"/>
      <c r="F167" s="17"/>
      <c r="H167" s="4">
        <f t="shared" si="11"/>
        <v>0</v>
      </c>
    </row>
    <row r="168" spans="1:8">
      <c r="A168" s="101" t="s">
        <v>272</v>
      </c>
      <c r="B168" s="83" t="s">
        <v>164</v>
      </c>
      <c r="C168" s="23">
        <f t="shared" si="13"/>
        <v>0</v>
      </c>
      <c r="D168" s="21"/>
      <c r="E168" s="12"/>
      <c r="F168" s="17"/>
      <c r="H168" s="4">
        <f t="shared" si="11"/>
        <v>0</v>
      </c>
    </row>
    <row r="169" spans="1:8">
      <c r="A169" s="101" t="s">
        <v>273</v>
      </c>
      <c r="B169" s="83" t="s">
        <v>165</v>
      </c>
      <c r="C169" s="23">
        <f t="shared" si="13"/>
        <v>0</v>
      </c>
      <c r="D169" s="21"/>
      <c r="E169" s="12"/>
      <c r="F169" s="17"/>
      <c r="H169" s="4">
        <f t="shared" si="11"/>
        <v>0</v>
      </c>
    </row>
    <row r="170" spans="1:8" s="14" customFormat="1">
      <c r="A170" s="105" t="s">
        <v>338</v>
      </c>
      <c r="B170" s="894" t="s">
        <v>339</v>
      </c>
      <c r="C170" s="58">
        <f t="shared" si="13"/>
        <v>0</v>
      </c>
      <c r="D170" s="56"/>
      <c r="E170" s="54"/>
      <c r="F170" s="55"/>
      <c r="H170" s="14">
        <f t="shared" si="11"/>
        <v>0</v>
      </c>
    </row>
    <row r="171" spans="1:8">
      <c r="A171" s="101" t="s">
        <v>274</v>
      </c>
      <c r="B171" s="83" t="s">
        <v>166</v>
      </c>
      <c r="C171" s="23">
        <f t="shared" si="13"/>
        <v>0</v>
      </c>
      <c r="D171" s="21"/>
      <c r="E171" s="12"/>
      <c r="F171" s="17"/>
      <c r="H171" s="4">
        <f t="shared" si="11"/>
        <v>0</v>
      </c>
    </row>
    <row r="172" spans="1:8">
      <c r="A172" s="101" t="s">
        <v>275</v>
      </c>
      <c r="B172" s="83" t="s">
        <v>167</v>
      </c>
      <c r="C172" s="23">
        <f t="shared" si="13"/>
        <v>0</v>
      </c>
      <c r="D172" s="21"/>
      <c r="E172" s="12"/>
      <c r="F172" s="17"/>
      <c r="H172" s="4">
        <f t="shared" si="11"/>
        <v>0</v>
      </c>
    </row>
    <row r="173" spans="1:8">
      <c r="A173" s="101" t="s">
        <v>276</v>
      </c>
      <c r="B173" s="83" t="s">
        <v>168</v>
      </c>
      <c r="C173" s="23">
        <f t="shared" si="13"/>
        <v>0</v>
      </c>
      <c r="D173" s="21"/>
      <c r="E173" s="12"/>
      <c r="F173" s="17"/>
      <c r="H173" s="4">
        <f t="shared" si="11"/>
        <v>0</v>
      </c>
    </row>
    <row r="174" spans="1:8">
      <c r="A174" s="101" t="s">
        <v>277</v>
      </c>
      <c r="B174" s="83" t="s">
        <v>933</v>
      </c>
      <c r="C174" s="23">
        <f>+D174+E174+F174</f>
        <v>0</v>
      </c>
      <c r="D174" s="21"/>
      <c r="E174" s="12"/>
      <c r="F174" s="17"/>
      <c r="H174" s="4">
        <f t="shared" si="11"/>
        <v>0</v>
      </c>
    </row>
    <row r="175" spans="1:8" ht="12.75" thickBot="1">
      <c r="A175" s="94" t="s">
        <v>931</v>
      </c>
      <c r="B175" s="84" t="s">
        <v>934</v>
      </c>
      <c r="C175" s="26">
        <f t="shared" si="13"/>
        <v>0</v>
      </c>
      <c r="D175" s="27"/>
      <c r="E175" s="28"/>
      <c r="F175" s="29"/>
      <c r="H175" s="4">
        <f t="shared" si="11"/>
        <v>0</v>
      </c>
    </row>
    <row r="176" spans="1:8" s="3" customFormat="1" ht="12.75" thickBot="1">
      <c r="A176" s="99" t="s">
        <v>10</v>
      </c>
      <c r="B176" s="85" t="s">
        <v>313</v>
      </c>
      <c r="C176" s="44">
        <f>+C109+C149</f>
        <v>83600</v>
      </c>
      <c r="D176" s="33">
        <f>+D109+D149</f>
        <v>83600</v>
      </c>
      <c r="E176" s="34">
        <f>+E109+E149</f>
        <v>0</v>
      </c>
      <c r="F176" s="35">
        <f>+F109+F149</f>
        <v>0</v>
      </c>
      <c r="H176" s="3">
        <f t="shared" si="11"/>
        <v>0</v>
      </c>
    </row>
    <row r="177" spans="1:8" s="3" customFormat="1" ht="12.75" thickBot="1">
      <c r="A177" s="99" t="s">
        <v>9</v>
      </c>
      <c r="B177" s="86" t="s">
        <v>314</v>
      </c>
      <c r="C177" s="44">
        <f>+C178</f>
        <v>0</v>
      </c>
      <c r="D177" s="33">
        <f>+D178</f>
        <v>0</v>
      </c>
      <c r="E177" s="34">
        <f>+E178</f>
        <v>0</v>
      </c>
      <c r="F177" s="35">
        <f>+F178</f>
        <v>0</v>
      </c>
      <c r="H177" s="3">
        <f t="shared" si="11"/>
        <v>0</v>
      </c>
    </row>
    <row r="178" spans="1:8" s="3" customFormat="1" ht="12.75" thickBot="1">
      <c r="A178" s="99" t="s">
        <v>45</v>
      </c>
      <c r="B178" s="80" t="s">
        <v>941</v>
      </c>
      <c r="C178" s="44">
        <f>+C179+C189+C190+C191</f>
        <v>0</v>
      </c>
      <c r="D178" s="33">
        <f>+D179+D189+D190+D191</f>
        <v>0</v>
      </c>
      <c r="E178" s="34">
        <f>+E179+E189+E190+E191</f>
        <v>0</v>
      </c>
      <c r="F178" s="35">
        <f>+F179+F189+F190+F191</f>
        <v>0</v>
      </c>
      <c r="H178" s="3">
        <f t="shared" si="11"/>
        <v>0</v>
      </c>
    </row>
    <row r="179" spans="1:8">
      <c r="A179" s="100" t="s">
        <v>75</v>
      </c>
      <c r="B179" s="81" t="s">
        <v>942</v>
      </c>
      <c r="C179" s="36">
        <f>+C180+C181+C182+C183+C184+C185+C186+C187+C188</f>
        <v>0</v>
      </c>
      <c r="D179" s="41">
        <f>+D180+D181+D182+D183+D184+D185+D186+D187+D188</f>
        <v>0</v>
      </c>
      <c r="E179" s="11">
        <f>+E180+E181+E182+E183+E184+E185+E186+E187+E188</f>
        <v>0</v>
      </c>
      <c r="F179" s="42">
        <f>+F180+F181+F182+F183+F184+F185+F186+F187+F188</f>
        <v>0</v>
      </c>
      <c r="H179" s="4">
        <f t="shared" si="11"/>
        <v>0</v>
      </c>
    </row>
    <row r="180" spans="1:8" s="14" customFormat="1">
      <c r="A180" s="102" t="s">
        <v>204</v>
      </c>
      <c r="B180" s="82" t="s">
        <v>169</v>
      </c>
      <c r="C180" s="24">
        <f t="shared" ref="C180:C190" si="14">+D180+E180+F180</f>
        <v>0</v>
      </c>
      <c r="D180" s="20"/>
      <c r="E180" s="13"/>
      <c r="F180" s="16"/>
      <c r="H180" s="14">
        <f t="shared" si="11"/>
        <v>0</v>
      </c>
    </row>
    <row r="181" spans="1:8" s="14" customFormat="1">
      <c r="A181" s="102" t="s">
        <v>205</v>
      </c>
      <c r="B181" s="82" t="s">
        <v>170</v>
      </c>
      <c r="C181" s="24">
        <f t="shared" si="14"/>
        <v>0</v>
      </c>
      <c r="D181" s="20"/>
      <c r="E181" s="13"/>
      <c r="F181" s="16"/>
      <c r="H181" s="14">
        <f t="shared" si="11"/>
        <v>0</v>
      </c>
    </row>
    <row r="182" spans="1:8" s="14" customFormat="1">
      <c r="A182" s="102" t="s">
        <v>206</v>
      </c>
      <c r="B182" s="82" t="s">
        <v>171</v>
      </c>
      <c r="C182" s="24">
        <f t="shared" si="14"/>
        <v>0</v>
      </c>
      <c r="D182" s="20"/>
      <c r="E182" s="13"/>
      <c r="F182" s="16"/>
      <c r="H182" s="14">
        <f t="shared" si="11"/>
        <v>0</v>
      </c>
    </row>
    <row r="183" spans="1:8" s="14" customFormat="1">
      <c r="A183" s="102" t="s">
        <v>207</v>
      </c>
      <c r="B183" s="82" t="s">
        <v>172</v>
      </c>
      <c r="C183" s="24">
        <f t="shared" si="14"/>
        <v>0</v>
      </c>
      <c r="D183" s="20"/>
      <c r="E183" s="13"/>
      <c r="F183" s="16"/>
      <c r="H183" s="14">
        <f t="shared" si="11"/>
        <v>0</v>
      </c>
    </row>
    <row r="184" spans="1:8" s="14" customFormat="1">
      <c r="A184" s="127" t="s">
        <v>208</v>
      </c>
      <c r="B184" s="128" t="s">
        <v>173</v>
      </c>
      <c r="C184" s="24">
        <f t="shared" si="14"/>
        <v>0</v>
      </c>
      <c r="D184" s="807"/>
      <c r="E184" s="808"/>
      <c r="F184" s="809"/>
      <c r="H184" s="140">
        <f t="shared" si="11"/>
        <v>0</v>
      </c>
    </row>
    <row r="185" spans="1:8" s="14" customFormat="1">
      <c r="A185" s="102" t="s">
        <v>209</v>
      </c>
      <c r="B185" s="82" t="s">
        <v>178</v>
      </c>
      <c r="C185" s="24">
        <f t="shared" si="14"/>
        <v>0</v>
      </c>
      <c r="D185" s="807"/>
      <c r="E185" s="808"/>
      <c r="F185" s="809"/>
      <c r="H185" s="14">
        <f t="shared" si="11"/>
        <v>0</v>
      </c>
    </row>
    <row r="186" spans="1:8" s="14" customFormat="1">
      <c r="A186" s="102" t="s">
        <v>210</v>
      </c>
      <c r="B186" s="82" t="s">
        <v>174</v>
      </c>
      <c r="C186" s="24">
        <f t="shared" si="14"/>
        <v>0</v>
      </c>
      <c r="D186" s="807"/>
      <c r="E186" s="808"/>
      <c r="F186" s="809"/>
      <c r="H186" s="14">
        <f t="shared" si="11"/>
        <v>0</v>
      </c>
    </row>
    <row r="187" spans="1:8" s="14" customFormat="1">
      <c r="A187" s="102" t="s">
        <v>211</v>
      </c>
      <c r="B187" s="82" t="s">
        <v>175</v>
      </c>
      <c r="C187" s="24">
        <f t="shared" si="14"/>
        <v>0</v>
      </c>
      <c r="D187" s="807"/>
      <c r="E187" s="808"/>
      <c r="F187" s="809"/>
      <c r="H187" s="14">
        <f t="shared" si="11"/>
        <v>0</v>
      </c>
    </row>
    <row r="188" spans="1:8" s="14" customFormat="1">
      <c r="A188" s="102" t="s">
        <v>935</v>
      </c>
      <c r="B188" s="82" t="s">
        <v>937</v>
      </c>
      <c r="C188" s="24">
        <f>+D188+E188+F188</f>
        <v>0</v>
      </c>
      <c r="D188" s="807"/>
      <c r="E188" s="808"/>
      <c r="F188" s="809"/>
      <c r="H188" s="14">
        <f t="shared" si="11"/>
        <v>0</v>
      </c>
    </row>
    <row r="189" spans="1:8">
      <c r="A189" s="101" t="s">
        <v>76</v>
      </c>
      <c r="B189" s="83" t="s">
        <v>176</v>
      </c>
      <c r="C189" s="23">
        <f t="shared" si="14"/>
        <v>0</v>
      </c>
      <c r="D189" s="1329"/>
      <c r="E189" s="1330"/>
      <c r="F189" s="1331"/>
      <c r="H189" s="4">
        <f t="shared" si="11"/>
        <v>0</v>
      </c>
    </row>
    <row r="190" spans="1:8">
      <c r="A190" s="94" t="s">
        <v>77</v>
      </c>
      <c r="B190" s="84" t="s">
        <v>177</v>
      </c>
      <c r="C190" s="26">
        <f t="shared" si="14"/>
        <v>0</v>
      </c>
      <c r="D190" s="1332"/>
      <c r="E190" s="1333"/>
      <c r="F190" s="1334"/>
      <c r="H190" s="4">
        <f t="shared" si="11"/>
        <v>0</v>
      </c>
    </row>
    <row r="191" spans="1:8" ht="12.75" thickBot="1">
      <c r="A191" s="94" t="s">
        <v>940</v>
      </c>
      <c r="B191" s="84" t="s">
        <v>938</v>
      </c>
      <c r="C191" s="26">
        <f>+D191+E191+F191</f>
        <v>0</v>
      </c>
      <c r="D191" s="1332"/>
      <c r="E191" s="1333"/>
      <c r="F191" s="1334"/>
      <c r="H191" s="4">
        <f t="shared" si="11"/>
        <v>0</v>
      </c>
    </row>
    <row r="192" spans="1:8" s="3" customFormat="1" ht="12.75" thickBot="1">
      <c r="A192" s="99" t="s">
        <v>44</v>
      </c>
      <c r="B192" s="85" t="s">
        <v>315</v>
      </c>
      <c r="C192" s="44">
        <f>+C193</f>
        <v>0</v>
      </c>
      <c r="D192" s="131">
        <f>+D193</f>
        <v>0</v>
      </c>
      <c r="E192" s="132">
        <f>+E193</f>
        <v>0</v>
      </c>
      <c r="F192" s="133">
        <f>+F193</f>
        <v>0</v>
      </c>
      <c r="H192" s="3">
        <f t="shared" si="11"/>
        <v>0</v>
      </c>
    </row>
    <row r="193" spans="1:8" s="3" customFormat="1" ht="12.75" thickBot="1">
      <c r="A193" s="99" t="s">
        <v>43</v>
      </c>
      <c r="B193" s="80" t="s">
        <v>936</v>
      </c>
      <c r="C193" s="44">
        <f>+C194+C204+C205+C206</f>
        <v>0</v>
      </c>
      <c r="D193" s="33">
        <f>+D194+D204+D205+D206</f>
        <v>0</v>
      </c>
      <c r="E193" s="34">
        <f>+E194+E204+E205+E206</f>
        <v>0</v>
      </c>
      <c r="F193" s="35">
        <f>+F194+F204+F205+F206</f>
        <v>0</v>
      </c>
      <c r="H193" s="3">
        <f t="shared" si="11"/>
        <v>0</v>
      </c>
    </row>
    <row r="194" spans="1:8">
      <c r="A194" s="100" t="s">
        <v>78</v>
      </c>
      <c r="B194" s="81" t="s">
        <v>971</v>
      </c>
      <c r="C194" s="36">
        <f>+C195+C196+C197+C198+C199+C200+C201+C202+C203</f>
        <v>0</v>
      </c>
      <c r="D194" s="41">
        <f>+D195+D196+D197+D198+D199+D200+D201+D202+D203</f>
        <v>0</v>
      </c>
      <c r="E194" s="11">
        <f>+E195+E196+E197+E198+E199+E200+E201+E202+E203</f>
        <v>0</v>
      </c>
      <c r="F194" s="42">
        <f>+F195+F196+F197+F198+F199+F200+F201+F202+F203</f>
        <v>0</v>
      </c>
      <c r="H194" s="4">
        <f t="shared" si="11"/>
        <v>0</v>
      </c>
    </row>
    <row r="195" spans="1:8" s="14" customFormat="1">
      <c r="A195" s="102" t="s">
        <v>212</v>
      </c>
      <c r="B195" s="82" t="s">
        <v>169</v>
      </c>
      <c r="C195" s="24">
        <f t="shared" ref="C195:C205" si="15">+D195+E195+F195</f>
        <v>0</v>
      </c>
      <c r="D195" s="807"/>
      <c r="E195" s="808"/>
      <c r="F195" s="809"/>
      <c r="H195" s="14">
        <f t="shared" si="11"/>
        <v>0</v>
      </c>
    </row>
    <row r="196" spans="1:8" s="14" customFormat="1">
      <c r="A196" s="102" t="s">
        <v>213</v>
      </c>
      <c r="B196" s="82" t="s">
        <v>170</v>
      </c>
      <c r="C196" s="24">
        <f t="shared" si="15"/>
        <v>0</v>
      </c>
      <c r="D196" s="807"/>
      <c r="E196" s="808"/>
      <c r="F196" s="809"/>
      <c r="H196" s="14">
        <f t="shared" si="11"/>
        <v>0</v>
      </c>
    </row>
    <row r="197" spans="1:8" s="14" customFormat="1">
      <c r="A197" s="102" t="s">
        <v>214</v>
      </c>
      <c r="B197" s="82" t="s">
        <v>171</v>
      </c>
      <c r="C197" s="24">
        <f t="shared" si="15"/>
        <v>0</v>
      </c>
      <c r="D197" s="807"/>
      <c r="E197" s="808"/>
      <c r="F197" s="809"/>
      <c r="H197" s="14">
        <f t="shared" si="11"/>
        <v>0</v>
      </c>
    </row>
    <row r="198" spans="1:8" s="14" customFormat="1">
      <c r="A198" s="102" t="s">
        <v>215</v>
      </c>
      <c r="B198" s="82" t="s">
        <v>172</v>
      </c>
      <c r="C198" s="24">
        <f t="shared" si="15"/>
        <v>0</v>
      </c>
      <c r="D198" s="807"/>
      <c r="E198" s="808"/>
      <c r="F198" s="809"/>
      <c r="H198" s="14">
        <f t="shared" si="11"/>
        <v>0</v>
      </c>
    </row>
    <row r="199" spans="1:8" s="14" customFormat="1">
      <c r="A199" s="127" t="s">
        <v>216</v>
      </c>
      <c r="B199" s="128" t="s">
        <v>173</v>
      </c>
      <c r="C199" s="24">
        <f t="shared" si="15"/>
        <v>0</v>
      </c>
      <c r="D199" s="807"/>
      <c r="E199" s="808"/>
      <c r="F199" s="809"/>
      <c r="H199" s="140">
        <f t="shared" si="11"/>
        <v>0</v>
      </c>
    </row>
    <row r="200" spans="1:8" s="14" customFormat="1">
      <c r="A200" s="102" t="s">
        <v>217</v>
      </c>
      <c r="B200" s="82" t="s">
        <v>178</v>
      </c>
      <c r="C200" s="24">
        <f t="shared" si="15"/>
        <v>0</v>
      </c>
      <c r="D200" s="807"/>
      <c r="E200" s="808"/>
      <c r="F200" s="809"/>
      <c r="H200" s="14">
        <f t="shared" si="11"/>
        <v>0</v>
      </c>
    </row>
    <row r="201" spans="1:8" s="14" customFormat="1">
      <c r="A201" s="102" t="s">
        <v>218</v>
      </c>
      <c r="B201" s="82" t="s">
        <v>174</v>
      </c>
      <c r="C201" s="24">
        <f t="shared" si="15"/>
        <v>0</v>
      </c>
      <c r="D201" s="20"/>
      <c r="E201" s="13"/>
      <c r="F201" s="16"/>
      <c r="H201" s="14">
        <f t="shared" si="11"/>
        <v>0</v>
      </c>
    </row>
    <row r="202" spans="1:8" s="14" customFormat="1">
      <c r="A202" s="102" t="s">
        <v>219</v>
      </c>
      <c r="B202" s="82" t="s">
        <v>175</v>
      </c>
      <c r="C202" s="24">
        <f t="shared" si="15"/>
        <v>0</v>
      </c>
      <c r="D202" s="20"/>
      <c r="E202" s="13"/>
      <c r="F202" s="16"/>
      <c r="H202" s="14">
        <f t="shared" si="11"/>
        <v>0</v>
      </c>
    </row>
    <row r="203" spans="1:8" s="14" customFormat="1">
      <c r="A203" s="102" t="s">
        <v>935</v>
      </c>
      <c r="B203" s="82" t="s">
        <v>937</v>
      </c>
      <c r="C203" s="24">
        <f>+D203+E203+F203</f>
        <v>0</v>
      </c>
      <c r="D203" s="20"/>
      <c r="E203" s="13"/>
      <c r="F203" s="16"/>
      <c r="H203" s="14">
        <f t="shared" ref="H203:H242" si="16">+C203-D203-E203-F203</f>
        <v>0</v>
      </c>
    </row>
    <row r="204" spans="1:8">
      <c r="A204" s="101" t="s">
        <v>79</v>
      </c>
      <c r="B204" s="83" t="s">
        <v>176</v>
      </c>
      <c r="C204" s="23">
        <f t="shared" si="15"/>
        <v>0</v>
      </c>
      <c r="D204" s="21"/>
      <c r="E204" s="12"/>
      <c r="F204" s="17"/>
      <c r="H204" s="4">
        <f t="shared" si="16"/>
        <v>0</v>
      </c>
    </row>
    <row r="205" spans="1:8">
      <c r="A205" s="94" t="s">
        <v>220</v>
      </c>
      <c r="B205" s="84" t="s">
        <v>177</v>
      </c>
      <c r="C205" s="26">
        <f t="shared" si="15"/>
        <v>0</v>
      </c>
      <c r="D205" s="27"/>
      <c r="E205" s="28"/>
      <c r="F205" s="29"/>
      <c r="H205" s="4">
        <f t="shared" si="16"/>
        <v>0</v>
      </c>
    </row>
    <row r="206" spans="1:8" ht="12.75" thickBot="1">
      <c r="A206" s="94" t="s">
        <v>939</v>
      </c>
      <c r="B206" s="84" t="s">
        <v>938</v>
      </c>
      <c r="C206" s="26">
        <f>+D206+E206+F206</f>
        <v>0</v>
      </c>
      <c r="D206" s="27"/>
      <c r="E206" s="28"/>
      <c r="F206" s="29"/>
      <c r="H206" s="4">
        <f t="shared" si="16"/>
        <v>0</v>
      </c>
    </row>
    <row r="207" spans="1:8" s="3" customFormat="1" ht="12.75" thickBot="1">
      <c r="A207" s="99" t="s">
        <v>40</v>
      </c>
      <c r="B207" s="85" t="s">
        <v>316</v>
      </c>
      <c r="C207" s="44">
        <f>+C177+C192</f>
        <v>0</v>
      </c>
      <c r="D207" s="33">
        <f>+D177+D192</f>
        <v>0</v>
      </c>
      <c r="E207" s="34">
        <f>+E177+E192</f>
        <v>0</v>
      </c>
      <c r="F207" s="35">
        <f>+F177+F192</f>
        <v>0</v>
      </c>
      <c r="H207" s="3">
        <f t="shared" si="16"/>
        <v>0</v>
      </c>
    </row>
    <row r="208" spans="1:8" s="3" customFormat="1" ht="12.75" thickBot="1">
      <c r="A208" s="103" t="s">
        <v>39</v>
      </c>
      <c r="B208" s="87" t="s">
        <v>334</v>
      </c>
      <c r="C208" s="45">
        <f>+C176+C207</f>
        <v>83600</v>
      </c>
      <c r="D208" s="30">
        <f>+D176+D207</f>
        <v>83600</v>
      </c>
      <c r="E208" s="31">
        <f>+E176+E207</f>
        <v>0</v>
      </c>
      <c r="F208" s="32">
        <f>+F176+F207</f>
        <v>0</v>
      </c>
      <c r="H208" s="3">
        <f t="shared" si="16"/>
        <v>0</v>
      </c>
    </row>
    <row r="211" spans="1:30" s="1" customFormat="1" ht="15.75">
      <c r="A211" s="1211" t="s">
        <v>89</v>
      </c>
      <c r="B211" s="1211"/>
      <c r="C211" s="1211"/>
      <c r="D211" s="1211"/>
      <c r="E211" s="1211"/>
      <c r="F211" s="121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</row>
    <row r="212" spans="1:30" s="46" customFormat="1" ht="12.75" thickBot="1">
      <c r="A212" s="48" t="s">
        <v>281</v>
      </c>
      <c r="F212" s="47" t="s">
        <v>280</v>
      </c>
    </row>
    <row r="213" spans="1:30" s="3" customFormat="1" ht="12.75" thickBot="1">
      <c r="A213" s="99" t="s">
        <v>4</v>
      </c>
      <c r="B213" s="85" t="s">
        <v>317</v>
      </c>
      <c r="C213" s="44">
        <f>+C214+C215</f>
        <v>-83600</v>
      </c>
      <c r="D213" s="33">
        <f>+D214+D215</f>
        <v>-83600</v>
      </c>
      <c r="E213" s="34">
        <f>+E214+E215</f>
        <v>0</v>
      </c>
      <c r="F213" s="35">
        <f>+F214+F215</f>
        <v>0</v>
      </c>
      <c r="H213" s="3">
        <f t="shared" si="16"/>
        <v>0</v>
      </c>
    </row>
    <row r="214" spans="1:30">
      <c r="A214" s="100" t="s">
        <v>81</v>
      </c>
      <c r="B214" s="88" t="s">
        <v>318</v>
      </c>
      <c r="C214" s="36">
        <f>+C10-C109</f>
        <v>-83600</v>
      </c>
      <c r="D214" s="41">
        <f>+D10-D109</f>
        <v>-83600</v>
      </c>
      <c r="E214" s="11">
        <f>+E10-E109</f>
        <v>0</v>
      </c>
      <c r="F214" s="42">
        <f>+F10-F109</f>
        <v>0</v>
      </c>
      <c r="H214" s="4">
        <f t="shared" si="16"/>
        <v>0</v>
      </c>
    </row>
    <row r="215" spans="1:30" ht="12.75" thickBot="1">
      <c r="A215" s="104" t="s">
        <v>82</v>
      </c>
      <c r="B215" s="89" t="s">
        <v>319</v>
      </c>
      <c r="C215" s="25">
        <f>+C50-C149</f>
        <v>0</v>
      </c>
      <c r="D215" s="51">
        <f>+D50-D149</f>
        <v>0</v>
      </c>
      <c r="E215" s="18">
        <f>+E50-E149</f>
        <v>0</v>
      </c>
      <c r="F215" s="50">
        <f>+F50-F149</f>
        <v>0</v>
      </c>
      <c r="H215" s="4">
        <f t="shared" si="16"/>
        <v>0</v>
      </c>
    </row>
    <row r="218" spans="1:30" s="1" customFormat="1" ht="15.75">
      <c r="A218" s="1211" t="s">
        <v>90</v>
      </c>
      <c r="B218" s="1211"/>
      <c r="C218" s="1211"/>
      <c r="D218" s="1211"/>
      <c r="E218" s="1211"/>
      <c r="F218" s="121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</row>
    <row r="219" spans="1:30" s="46" customFormat="1" ht="12.75" thickBot="1">
      <c r="A219" s="48" t="s">
        <v>282</v>
      </c>
      <c r="F219" s="47" t="s">
        <v>280</v>
      </c>
    </row>
    <row r="220" spans="1:30" s="3" customFormat="1" ht="12.75" thickBot="1">
      <c r="A220" s="99" t="s">
        <v>4</v>
      </c>
      <c r="B220" s="85" t="s">
        <v>320</v>
      </c>
      <c r="C220" s="44">
        <f>+C221+C228</f>
        <v>83600</v>
      </c>
      <c r="D220" s="33">
        <f>+D221+D228</f>
        <v>83600</v>
      </c>
      <c r="E220" s="34">
        <f>+E221+E228</f>
        <v>0</v>
      </c>
      <c r="F220" s="35">
        <f>+F221+F228</f>
        <v>0</v>
      </c>
      <c r="H220" s="3">
        <f t="shared" si="16"/>
        <v>0</v>
      </c>
    </row>
    <row r="221" spans="1:30" s="3" customFormat="1" ht="12.75" thickBot="1">
      <c r="A221" s="99" t="s">
        <v>5</v>
      </c>
      <c r="B221" s="80" t="s">
        <v>321</v>
      </c>
      <c r="C221" s="44">
        <f>+C222-C225</f>
        <v>83600</v>
      </c>
      <c r="D221" s="33">
        <f>+D222-D225</f>
        <v>83600</v>
      </c>
      <c r="E221" s="34">
        <f>+E222-E225</f>
        <v>0</v>
      </c>
      <c r="F221" s="35">
        <f>+F222-F225</f>
        <v>0</v>
      </c>
      <c r="H221" s="3">
        <f t="shared" si="16"/>
        <v>0</v>
      </c>
    </row>
    <row r="222" spans="1:30">
      <c r="A222" s="100" t="s">
        <v>54</v>
      </c>
      <c r="B222" s="81" t="s">
        <v>322</v>
      </c>
      <c r="C222" s="36">
        <f>+C223+C224</f>
        <v>83600</v>
      </c>
      <c r="D222" s="41">
        <f>+D223+D224</f>
        <v>83600</v>
      </c>
      <c r="E222" s="11">
        <f>+E223+E224</f>
        <v>0</v>
      </c>
      <c r="F222" s="42">
        <f>+F223+F224</f>
        <v>0</v>
      </c>
      <c r="H222" s="4">
        <f t="shared" si="16"/>
        <v>0</v>
      </c>
    </row>
    <row r="223" spans="1:30" s="14" customFormat="1">
      <c r="A223" s="102" t="s">
        <v>189</v>
      </c>
      <c r="B223" s="82" t="s">
        <v>284</v>
      </c>
      <c r="C223" s="24">
        <f>+C76+C80</f>
        <v>0</v>
      </c>
      <c r="D223" s="20">
        <f>+D76+D80</f>
        <v>0</v>
      </c>
      <c r="E223" s="13">
        <f>+E76+E80</f>
        <v>0</v>
      </c>
      <c r="F223" s="16">
        <f>+F76+F80</f>
        <v>0</v>
      </c>
      <c r="H223" s="14">
        <f t="shared" si="16"/>
        <v>0</v>
      </c>
    </row>
    <row r="224" spans="1:30" s="14" customFormat="1">
      <c r="A224" s="102" t="s">
        <v>190</v>
      </c>
      <c r="B224" s="82" t="s">
        <v>285</v>
      </c>
      <c r="C224" s="24">
        <f>+C74+C75+C77+C78+C79+C81</f>
        <v>83600</v>
      </c>
      <c r="D224" s="20">
        <f>+D74+D75+D77+D78+D79+D81</f>
        <v>83600</v>
      </c>
      <c r="E224" s="13">
        <f>+E74+E75+E77+E78+E79+E81</f>
        <v>0</v>
      </c>
      <c r="F224" s="16">
        <f>+F74+F75+F77+F78+F79+F81</f>
        <v>0</v>
      </c>
      <c r="H224" s="14">
        <f t="shared" si="16"/>
        <v>0</v>
      </c>
    </row>
    <row r="225" spans="1:30">
      <c r="A225" s="101" t="s">
        <v>55</v>
      </c>
      <c r="B225" s="83" t="s">
        <v>323</v>
      </c>
      <c r="C225" s="23">
        <f>+C227</f>
        <v>0</v>
      </c>
      <c r="D225" s="21">
        <f>+D227</f>
        <v>0</v>
      </c>
      <c r="E225" s="12">
        <f>+E227</f>
        <v>0</v>
      </c>
      <c r="F225" s="17">
        <f>+F227</f>
        <v>0</v>
      </c>
      <c r="H225" s="4">
        <f t="shared" si="16"/>
        <v>0</v>
      </c>
    </row>
    <row r="226" spans="1:30" s="14" customFormat="1">
      <c r="A226" s="102" t="s">
        <v>56</v>
      </c>
      <c r="B226" s="82" t="s">
        <v>286</v>
      </c>
      <c r="C226" s="24">
        <f>+C185</f>
        <v>0</v>
      </c>
      <c r="D226" s="20">
        <f>+D185</f>
        <v>0</v>
      </c>
      <c r="E226" s="13">
        <f>+E185</f>
        <v>0</v>
      </c>
      <c r="F226" s="16">
        <f>+F185</f>
        <v>0</v>
      </c>
      <c r="H226" s="14">
        <f t="shared" si="16"/>
        <v>0</v>
      </c>
    </row>
    <row r="227" spans="1:30" s="14" customFormat="1" ht="12.75" thickBot="1">
      <c r="A227" s="105" t="s">
        <v>57</v>
      </c>
      <c r="B227" s="90" t="s">
        <v>287</v>
      </c>
      <c r="C227" s="58">
        <f>+C180+C181+C182+C183+C184+C186+C187</f>
        <v>0</v>
      </c>
      <c r="D227" s="56">
        <f>+D180+D181+D182+D183+D184+D186+D187</f>
        <v>0</v>
      </c>
      <c r="E227" s="54">
        <f>+E180+E181+E182+E183+E184+E186+E187</f>
        <v>0</v>
      </c>
      <c r="F227" s="55">
        <f>+F180+F181+F182+F183+F184+F186+F187</f>
        <v>0</v>
      </c>
      <c r="H227" s="14">
        <f t="shared" si="16"/>
        <v>0</v>
      </c>
    </row>
    <row r="228" spans="1:30" s="3" customFormat="1" ht="12.75" thickBot="1">
      <c r="A228" s="99" t="s">
        <v>6</v>
      </c>
      <c r="B228" s="80" t="s">
        <v>324</v>
      </c>
      <c r="C228" s="44">
        <f>+C229-C232</f>
        <v>0</v>
      </c>
      <c r="D228" s="33">
        <f>+D229-D232</f>
        <v>0</v>
      </c>
      <c r="E228" s="34">
        <f>+E229-E232</f>
        <v>0</v>
      </c>
      <c r="F228" s="35">
        <f>+F229-F232</f>
        <v>0</v>
      </c>
      <c r="H228" s="3">
        <f t="shared" si="16"/>
        <v>0</v>
      </c>
    </row>
    <row r="229" spans="1:30">
      <c r="A229" s="100" t="s">
        <v>58</v>
      </c>
      <c r="B229" s="81" t="s">
        <v>325</v>
      </c>
      <c r="C229" s="36">
        <f>+C230+C231</f>
        <v>0</v>
      </c>
      <c r="D229" s="41">
        <f>+D230+D231</f>
        <v>0</v>
      </c>
      <c r="E229" s="11">
        <f>+E230+E231</f>
        <v>0</v>
      </c>
      <c r="F229" s="42">
        <f>+F230+F231</f>
        <v>0</v>
      </c>
      <c r="H229" s="4">
        <f t="shared" si="16"/>
        <v>0</v>
      </c>
    </row>
    <row r="230" spans="1:30" s="14" customFormat="1">
      <c r="A230" s="102" t="s">
        <v>292</v>
      </c>
      <c r="B230" s="82" t="s">
        <v>290</v>
      </c>
      <c r="C230" s="24">
        <f>+C91+C95</f>
        <v>0</v>
      </c>
      <c r="D230" s="20">
        <f>+D91+D95</f>
        <v>0</v>
      </c>
      <c r="E230" s="13">
        <f>+E91+E95</f>
        <v>0</v>
      </c>
      <c r="F230" s="16">
        <f>+F91+F95</f>
        <v>0</v>
      </c>
      <c r="H230" s="14">
        <f t="shared" si="16"/>
        <v>0</v>
      </c>
    </row>
    <row r="231" spans="1:30" s="14" customFormat="1">
      <c r="A231" s="102" t="s">
        <v>293</v>
      </c>
      <c r="B231" s="82" t="s">
        <v>291</v>
      </c>
      <c r="C231" s="24">
        <f>+C89+C90+C92+C93+C94+C96</f>
        <v>0</v>
      </c>
      <c r="D231" s="20">
        <f>+D89+D90+D92+D93+D94+D96</f>
        <v>0</v>
      </c>
      <c r="E231" s="13">
        <f>+E89+E90+E92+E93+E94+E96</f>
        <v>0</v>
      </c>
      <c r="F231" s="16">
        <f>+F89+F90+F92+F93+F94+F96</f>
        <v>0</v>
      </c>
      <c r="H231" s="14">
        <f t="shared" si="16"/>
        <v>0</v>
      </c>
    </row>
    <row r="232" spans="1:30">
      <c r="A232" s="101" t="s">
        <v>59</v>
      </c>
      <c r="B232" s="83" t="s">
        <v>326</v>
      </c>
      <c r="C232" s="23">
        <f>+C233+C234</f>
        <v>0</v>
      </c>
      <c r="D232" s="21">
        <f>+D233+D234</f>
        <v>0</v>
      </c>
      <c r="E232" s="12">
        <f>+E233+E234</f>
        <v>0</v>
      </c>
      <c r="F232" s="17">
        <f>+F233+F234</f>
        <v>0</v>
      </c>
      <c r="H232" s="4">
        <f t="shared" si="16"/>
        <v>0</v>
      </c>
    </row>
    <row r="233" spans="1:30" s="14" customFormat="1">
      <c r="A233" s="102" t="s">
        <v>294</v>
      </c>
      <c r="B233" s="82" t="s">
        <v>288</v>
      </c>
      <c r="C233" s="24">
        <f>+C200</f>
        <v>0</v>
      </c>
      <c r="D233" s="20">
        <f>+D200</f>
        <v>0</v>
      </c>
      <c r="E233" s="13">
        <f>+E200</f>
        <v>0</v>
      </c>
      <c r="F233" s="16">
        <f>+F200</f>
        <v>0</v>
      </c>
      <c r="H233" s="14">
        <f t="shared" si="16"/>
        <v>0</v>
      </c>
    </row>
    <row r="234" spans="1:30" s="14" customFormat="1" ht="12.75" thickBot="1">
      <c r="A234" s="106" t="s">
        <v>295</v>
      </c>
      <c r="B234" s="91" t="s">
        <v>289</v>
      </c>
      <c r="C234" s="59">
        <f>+C195+C196+C197+C198+C199+C201+C202</f>
        <v>0</v>
      </c>
      <c r="D234" s="57">
        <f>+D195+D196+D197+D198+D199+D201+D202</f>
        <v>0</v>
      </c>
      <c r="E234" s="52">
        <f>+E195+E196+E197+E198+E199+E201+E202</f>
        <v>0</v>
      </c>
      <c r="F234" s="53">
        <f>+F195+F196+F197+F198+F199+F201+F202</f>
        <v>0</v>
      </c>
      <c r="H234" s="14">
        <f t="shared" si="16"/>
        <v>0</v>
      </c>
    </row>
    <row r="237" spans="1:30" s="1" customFormat="1" ht="15.75">
      <c r="A237" s="1211" t="s">
        <v>1460</v>
      </c>
      <c r="B237" s="1211"/>
      <c r="C237" s="1211"/>
      <c r="D237" s="1211"/>
      <c r="E237" s="1211"/>
      <c r="F237" s="121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</row>
    <row r="238" spans="1:30" s="46" customFormat="1" ht="12.75" thickBot="1">
      <c r="A238" s="48" t="s">
        <v>283</v>
      </c>
      <c r="F238" s="47"/>
    </row>
    <row r="239" spans="1:30" s="3" customFormat="1">
      <c r="A239" s="107" t="s">
        <v>4</v>
      </c>
      <c r="B239" s="92" t="s">
        <v>91</v>
      </c>
      <c r="C239" s="67">
        <f>+D239+E239+F239</f>
        <v>22</v>
      </c>
      <c r="D239" s="68">
        <v>22</v>
      </c>
      <c r="E239" s="69"/>
      <c r="F239" s="70"/>
      <c r="H239" s="3">
        <f t="shared" si="16"/>
        <v>0</v>
      </c>
    </row>
    <row r="240" spans="1:30" s="14" customFormat="1">
      <c r="A240" s="105" t="s">
        <v>350</v>
      </c>
      <c r="B240" s="116" t="s">
        <v>351</v>
      </c>
      <c r="C240" s="117">
        <f>+D240+E240+F240</f>
        <v>0</v>
      </c>
      <c r="D240" s="118"/>
      <c r="E240" s="119"/>
      <c r="F240" s="120"/>
      <c r="H240" s="14">
        <f t="shared" si="16"/>
        <v>0</v>
      </c>
    </row>
    <row r="241" spans="1:8" s="3" customFormat="1" ht="12.75" thickBot="1">
      <c r="A241" s="108" t="s">
        <v>5</v>
      </c>
      <c r="B241" s="93" t="s">
        <v>92</v>
      </c>
      <c r="C241" s="71">
        <f>+D241+E241+F241</f>
        <v>0</v>
      </c>
      <c r="D241" s="72"/>
      <c r="E241" s="73"/>
      <c r="F241" s="74"/>
      <c r="H241" s="3">
        <f t="shared" si="16"/>
        <v>0</v>
      </c>
    </row>
    <row r="242" spans="1:8" s="3" customFormat="1" ht="12.75" thickBot="1">
      <c r="A242" s="99" t="s">
        <v>6</v>
      </c>
      <c r="B242" s="85" t="s">
        <v>329</v>
      </c>
      <c r="C242" s="75">
        <f>+C239+C241</f>
        <v>22</v>
      </c>
      <c r="D242" s="76">
        <f>+D239+D241</f>
        <v>22</v>
      </c>
      <c r="E242" s="77">
        <f>+E239+E241</f>
        <v>0</v>
      </c>
      <c r="F242" s="78">
        <f>+F239+F241</f>
        <v>0</v>
      </c>
      <c r="H242" s="3">
        <f t="shared" si="16"/>
        <v>0</v>
      </c>
    </row>
  </sheetData>
  <mergeCells count="9">
    <mergeCell ref="A211:F211"/>
    <mergeCell ref="A218:F218"/>
    <mergeCell ref="A237:F237"/>
    <mergeCell ref="A3:F3"/>
    <mergeCell ref="A4:F4"/>
    <mergeCell ref="A6:F6"/>
    <mergeCell ref="C9:F9"/>
    <mergeCell ref="A105:F105"/>
    <mergeCell ref="C108:F108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44" fitToHeight="2" orientation="portrait" r:id="rId1"/>
  <headerFooter>
    <oddHeader>&amp;C 1.6. melléklet - &amp;P. oldal</oddHeader>
  </headerFooter>
  <rowBreaks count="1" manualBreakCount="1">
    <brk id="10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27</vt:i4>
      </vt:variant>
      <vt:variant>
        <vt:lpstr>Névvel ellátott tartományok</vt:lpstr>
      </vt:variant>
      <vt:variant>
        <vt:i4>27</vt:i4>
      </vt:variant>
    </vt:vector>
  </HeadingPairs>
  <TitlesOfParts>
    <vt:vector size="54" baseType="lpstr">
      <vt:lpstr>módosítás II.fordulóra</vt:lpstr>
      <vt:lpstr>Tartalomjegyzék</vt:lpstr>
      <vt:lpstr>1.mell._Össz_Mérleg2020</vt:lpstr>
      <vt:lpstr>1.1.mell._ÖNK_Mérleg2020</vt:lpstr>
      <vt:lpstr>1.2.mell._HKÖH_Mérleg2020</vt:lpstr>
      <vt:lpstr>1.3.mell._HVÓBKI_Mérleg2020</vt:lpstr>
      <vt:lpstr>1.4.mell._HKK_Mérleg2020</vt:lpstr>
      <vt:lpstr>1.5._mell._MŐSZ_Mérleg2020</vt:lpstr>
      <vt:lpstr>1.6._mell._HVGYKCSSZ_Mérleg2020</vt:lpstr>
      <vt:lpstr>2.a.mell._MMérleg2020</vt:lpstr>
      <vt:lpstr>2.b.mell._FMérleg2020</vt:lpstr>
      <vt:lpstr>3. mell._létszám2020</vt:lpstr>
      <vt:lpstr>4. mell. EUprojektek2020</vt:lpstr>
      <vt:lpstr>5.mell_adósság2020</vt:lpstr>
      <vt:lpstr>6.mell_Többévesköt.2020</vt:lpstr>
      <vt:lpstr>7. mell_KözvetettTám2020</vt:lpstr>
      <vt:lpstr>8.mell_EIfelhterv2020</vt:lpstr>
      <vt:lpstr>9.mell_ÖsszMérleg(telj)2020</vt:lpstr>
      <vt:lpstr>10.mell_támogatások2020</vt:lpstr>
      <vt:lpstr>11.mell_felhKiad2020</vt:lpstr>
      <vt:lpstr>12.mell_céltámogatások2020</vt:lpstr>
      <vt:lpstr>13.mell_ÖNKfeladatok2020</vt:lpstr>
      <vt:lpstr>14.mell_Önk kiegészítés2020</vt:lpstr>
      <vt:lpstr>15.mell_Tartozások2020</vt:lpstr>
      <vt:lpstr>16.mell_Étkezésdíj2020</vt:lpstr>
      <vt:lpstr>1.függVárosüzem2020</vt:lpstr>
      <vt:lpstr>2.függ_adósság2019 (határozat)</vt:lpstr>
      <vt:lpstr>'10.mell_támogatások2020'!Nyomtatási_cím</vt:lpstr>
      <vt:lpstr>'13.mell_ÖNKfeladatok2020'!Nyomtatási_cím</vt:lpstr>
      <vt:lpstr>'14.mell_Önk kiegészítés2020'!Nyomtatási_cím</vt:lpstr>
      <vt:lpstr>'módosítás II.fordulóra'!Nyomtatási_cím</vt:lpstr>
      <vt:lpstr>'1.1.mell._ÖNK_Mérleg2020'!Nyomtatási_terület</vt:lpstr>
      <vt:lpstr>'1.2.mell._HKÖH_Mérleg2020'!Nyomtatási_terület</vt:lpstr>
      <vt:lpstr>'1.3.mell._HVÓBKI_Mérleg2020'!Nyomtatási_terület</vt:lpstr>
      <vt:lpstr>'1.4.mell._HKK_Mérleg2020'!Nyomtatási_terület</vt:lpstr>
      <vt:lpstr>'1.5._mell._MŐSZ_Mérleg2020'!Nyomtatási_terület</vt:lpstr>
      <vt:lpstr>'1.6._mell._HVGYKCSSZ_Mérleg2020'!Nyomtatási_terület</vt:lpstr>
      <vt:lpstr>'1.függVárosüzem2020'!Nyomtatási_terület</vt:lpstr>
      <vt:lpstr>'1.mell._Össz_Mérleg2020'!Nyomtatási_terület</vt:lpstr>
      <vt:lpstr>'10.mell_támogatások2020'!Nyomtatási_terület</vt:lpstr>
      <vt:lpstr>'11.mell_felhKiad2020'!Nyomtatási_terület</vt:lpstr>
      <vt:lpstr>'12.mell_céltámogatások2020'!Nyomtatási_terület</vt:lpstr>
      <vt:lpstr>'13.mell_ÖNKfeladatok2020'!Nyomtatási_terület</vt:lpstr>
      <vt:lpstr>'14.mell_Önk kiegészítés2020'!Nyomtatási_terület</vt:lpstr>
      <vt:lpstr>'16.mell_Étkezésdíj2020'!Nyomtatási_terület</vt:lpstr>
      <vt:lpstr>'2.a.mell._MMérleg2020'!Nyomtatási_terület</vt:lpstr>
      <vt:lpstr>'2.b.mell._FMérleg2020'!Nyomtatási_terület</vt:lpstr>
      <vt:lpstr>'2.függ_adósság2019 (határozat)'!Nyomtatási_terület</vt:lpstr>
      <vt:lpstr>'3. mell._létszám2020'!Nyomtatási_terület</vt:lpstr>
      <vt:lpstr>'4. mell. EUprojektek2020'!Nyomtatási_terület</vt:lpstr>
      <vt:lpstr>'7. mell_KözvetettTám2020'!Nyomtatási_terület</vt:lpstr>
      <vt:lpstr>'8.mell_EIfelhterv2020'!Nyomtatási_terület</vt:lpstr>
      <vt:lpstr>'9.mell_ÖsszMérleg(telj)2020'!Nyomtatási_terület</vt:lpstr>
      <vt:lpstr>'módosítás II.fordulóra'!Nyomtatási_terület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Gábor Ecsegi</dc:creator>
  <cp:lastModifiedBy>ecsegi</cp:lastModifiedBy>
  <cp:lastPrinted>2020-02-11T12:44:47Z</cp:lastPrinted>
  <dcterms:created xsi:type="dcterms:W3CDTF">1998-12-06T10:54:59Z</dcterms:created>
  <dcterms:modified xsi:type="dcterms:W3CDTF">2020-02-11T12:45:21Z</dcterms:modified>
</cp:coreProperties>
</file>