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973" activeTab="1"/>
  </bookViews>
  <sheets>
    <sheet name="TARTALOMJEGYZÉK" sheetId="1" r:id="rId1"/>
    <sheet name="ALAPADATOK" sheetId="2" r:id="rId2"/>
    <sheet name="KV_ÖSSZEFÜGGÉSEK" sheetId="3" r:id="rId3"/>
    <sheet name="KV_1.1.sz.mell." sheetId="4" r:id="rId4"/>
    <sheet name="KV_1.2.sz.mell." sheetId="5" r:id="rId5"/>
    <sheet name="KV_1.3.sz.mell." sheetId="6" r:id="rId6"/>
    <sheet name="KV_1.4.sz.mell." sheetId="7" r:id="rId7"/>
    <sheet name="KV_2.1.sz.mell." sheetId="8" r:id="rId8"/>
    <sheet name="KV_2.2.sz.mell." sheetId="9" r:id="rId9"/>
    <sheet name="KV_ELLENŐRZÉS" sheetId="10" r:id="rId10"/>
    <sheet name="KV_3.sz.mell." sheetId="11" r:id="rId11"/>
    <sheet name="KV_4.sz.mell." sheetId="12" r:id="rId12"/>
    <sheet name="KV_5.sz.mell." sheetId="13" r:id="rId13"/>
    <sheet name="KV_6.sz.mell." sheetId="14" r:id="rId14"/>
    <sheet name="KV_7.sz.mell." sheetId="15" r:id="rId15"/>
    <sheet name="KV_8.sz.mell." sheetId="16" r:id="rId16"/>
    <sheet name="KV_9.1.sz.mell" sheetId="17" r:id="rId17"/>
    <sheet name="KV_9.1.1.sz.mell" sheetId="18" r:id="rId18"/>
    <sheet name="KV_9.1.2.sz.mell." sheetId="19" r:id="rId19"/>
    <sheet name="KV_9.1.3.sz.mell" sheetId="20" r:id="rId20"/>
    <sheet name="KV_9.3.sz.mell" sheetId="21" r:id="rId21"/>
    <sheet name="KV_9.3.1.sz.mell" sheetId="22" r:id="rId22"/>
    <sheet name="KV_9.3.2.sz.mell" sheetId="23" r:id="rId23"/>
    <sheet name="KV_9.3.3.sz.mell" sheetId="24" r:id="rId24"/>
    <sheet name="KV_10.sz.mell" sheetId="25" r:id="rId25"/>
    <sheet name="KV_1.sz.tájékoztató_t." sheetId="26" r:id="rId26"/>
    <sheet name="KV_2.sz.tájékoztató_t." sheetId="27" r:id="rId27"/>
    <sheet name="KV_3.sz.tájékoztató_t." sheetId="28" r:id="rId28"/>
    <sheet name="KV_4.sz.tájékoztató_t." sheetId="29" r:id="rId29"/>
    <sheet name="KV_5.sz.tájékoztató_t" sheetId="30" r:id="rId30"/>
    <sheet name="KV_6.sz.tájékoztató_t." sheetId="31" r:id="rId31"/>
    <sheet name="KV_7.sz.tájékoztató_t." sheetId="32" r:id="rId32"/>
  </sheets>
  <definedNames>
    <definedName name="_xlfn.IFERROR" hidden="1">#NAME?</definedName>
    <definedName name="_xlnm.Print_Titles" localSheetId="17">'KV_9.1.1.sz.mell'!$1:$6</definedName>
    <definedName name="_xlnm.Print_Titles" localSheetId="18">'KV_9.1.2.sz.mell.'!$1:$6</definedName>
    <definedName name="_xlnm.Print_Titles" localSheetId="19">'KV_9.1.3.sz.mell'!$1:$6</definedName>
    <definedName name="_xlnm.Print_Titles" localSheetId="16">'KV_9.1.sz.mell'!$1:$6</definedName>
    <definedName name="_xlnm.Print_Titles" localSheetId="21">'KV_9.3.1.sz.mell'!$1:$6</definedName>
    <definedName name="_xlnm.Print_Titles" localSheetId="22">'KV_9.3.2.sz.mell'!$1:$6</definedName>
    <definedName name="_xlnm.Print_Titles" localSheetId="23">'KV_9.3.3.sz.mell'!$1:$6</definedName>
    <definedName name="_xlnm.Print_Titles" localSheetId="20">'KV_9.3.sz.mell'!$1:$6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25">'KV_1.sz.tájékoztató_t.'!$A$1:$E$157</definedName>
    <definedName name="_xlnm.Print_Area" localSheetId="31">'KV_7.sz.tájékoztató_t.'!$A$2:$E$40</definedName>
    <definedName name="_xlnm.Print_Area" localSheetId="15">'KV_8.sz.mell.'!$A$1:$F$95</definedName>
    <definedName name="_xlnm.Print_Area" localSheetId="0">'TARTALOMJEGYZÉK'!$A$1:$C$44</definedName>
  </definedNames>
  <calcPr fullCalcOnLoad="1"/>
</workbook>
</file>

<file path=xl/sharedStrings.xml><?xml version="1.0" encoding="utf-8"?>
<sst xmlns="http://schemas.openxmlformats.org/spreadsheetml/2006/main" count="4108" uniqueCount="746">
  <si>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</si>
  <si>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</si>
  <si>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</si>
  <si>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</si>
  <si>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</si>
  <si>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</si>
  <si>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</si>
  <si>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</si>
  <si>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</si>
  <si>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</si>
  <si>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</si>
  <si>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</si>
  <si>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</si>
  <si>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</si>
  <si>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</si>
  <si>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</si>
  <si>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</si>
  <si>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</si>
  <si>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</si>
  <si>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</si>
  <si>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</si>
  <si>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</si>
  <si>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</si>
  <si>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</si>
  <si>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</si>
  <si>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</si>
  <si>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</si>
  <si>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</si>
  <si>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</si>
  <si>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</si>
  <si>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</si>
  <si>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</si>
  <si>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</si>
  <si>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</si>
  <si>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</si>
  <si>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</si>
  <si>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</si>
  <si>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</si>
  <si>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</si>
  <si>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</si>
  <si>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</si>
  <si>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</si>
  <si>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</si>
  <si>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</si>
  <si>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</si>
  <si>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</si>
  <si>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</si>
  <si>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</si>
  <si>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</si>
  <si>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</si>
  <si>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</si>
  <si>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</si>
  <si>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</si>
  <si>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</si>
  <si>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</si>
  <si>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</si>
  <si>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</si>
  <si>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</si>
  <si>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</si>
  <si>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</si>
  <si>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</si>
  <si>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</si>
  <si>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</si>
  <si>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</si>
  <si>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</si>
  <si>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</si>
  <si>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</si>
  <si>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</si>
  <si>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</si>
  <si>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</si>
  <si>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</si>
  <si>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</si>
  <si>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</si>
  <si>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</si>
  <si>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</si>
  <si>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</si>
  <si>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</si>
  <si>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</si>
  <si>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</si>
  <si>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</si>
  <si>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</si>
  <si>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</si>
  <si>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</si>
  <si>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</si>
  <si>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</si>
  <si>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</si>
  <si>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</si>
  <si>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</si>
  <si>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</si>
  <si>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</si>
  <si>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</si>
  <si>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</si>
  <si>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</si>
  <si>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</si>
  <si>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</si>
  <si>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</si>
  <si>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</si>
  <si>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</si>
  <si>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</si>
  <si>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</si>
  <si>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</si>
  <si>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</si>
  <si>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</si>
  <si>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</si>
  <si>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</si>
  <si>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</si>
  <si>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</si>
  <si>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</si>
  <si>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</si>
  <si>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</si>
  <si>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</si>
  <si>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</si>
  <si>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</si>
  <si>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</si>
  <si>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</si>
  <si>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</si>
  <si>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</si>
  <si>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</si>
  <si>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</si>
  <si>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</si>
  <si>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</si>
  <si>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</si>
  <si>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</si>
  <si>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</si>
  <si>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</si>
  <si>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</si>
  <si>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</si>
  <si>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</si>
  <si>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</si>
  <si>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</si>
  <si>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</si>
  <si>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</si>
  <si>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</si>
  <si>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</si>
  <si>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</si>
  <si>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</si>
  <si>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</si>
  <si>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</si>
  <si>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</si>
  <si>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</si>
  <si>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</si>
  <si>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</si>
  <si>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</si>
  <si>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</si>
  <si>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</si>
  <si>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</si>
  <si>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</si>
  <si>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</si>
  <si>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</si>
  <si>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</si>
  <si>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</si>
  <si>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</si>
  <si>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</si>
  <si>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</si>
  <si>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</si>
  <si>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</si>
  <si>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</si>
  <si>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</si>
  <si>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</si>
  <si>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</si>
  <si>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</si>
  <si>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</si>
  <si>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</si>
  <si>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</si>
  <si>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</si>
  <si>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</si>
  <si>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</si>
  <si>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</si>
  <si>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</si>
  <si>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</si>
  <si>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</si>
  <si>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</si>
  <si>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</si>
  <si>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</si>
  <si>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</si>
  <si>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</si>
  <si>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</si>
  <si>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</si>
  <si>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</si>
  <si>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</si>
  <si>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</si>
  <si>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</si>
  <si>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</si>
  <si>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</si>
  <si>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</si>
  <si>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</si>
  <si>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</si>
  <si>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</si>
  <si>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</si>
  <si>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</si>
  <si>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</si>
  <si>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</si>
  <si>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</si>
  <si>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</si>
  <si>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</si>
  <si>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</si>
  <si>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</si>
  <si>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</si>
  <si>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</si>
  <si>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</si>
  <si>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</si>
  <si>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</si>
  <si>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</si>
  <si>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</si>
  <si>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</si>
  <si>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</si>
  <si>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</si>
  <si>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</si>
  <si>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</si>
  <si>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</si>
  <si>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</si>
  <si>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</si>
  <si>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</si>
  <si>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</si>
  <si>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</si>
  <si>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</si>
  <si>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</si>
  <si>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</si>
  <si>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</si>
  <si>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</si>
  <si>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</si>
  <si>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</si>
  <si>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</si>
  <si>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</si>
  <si>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</si>
  <si>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</si>
  <si>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</si>
  <si>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</si>
  <si>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</si>
  <si>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</si>
  <si>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</si>
  <si>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</si>
  <si>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</si>
  <si>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</si>
  <si>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</si>
  <si>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</si>
  <si>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</si>
  <si>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</si>
  <si>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</si>
  <si>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</si>
  <si>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</si>
  <si>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</si>
  <si>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</si>
  <si>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</si>
  <si>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</si>
  <si>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</si>
  <si>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</si>
  <si>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</si>
  <si>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</si>
  <si>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</si>
  <si>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</si>
  <si>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</si>
  <si>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</si>
  <si>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</si>
  <si>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</si>
  <si>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</si>
  <si>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</si>
  <si>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</si>
  <si>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</si>
  <si>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</si>
  <si>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</si>
  <si>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</si>
  <si>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</si>
  <si>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</si>
  <si>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</si>
  <si>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</si>
  <si>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</si>
  <si>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</si>
  <si>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</si>
  <si>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</si>
  <si>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</si>
  <si>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</si>
  <si>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</si>
  <si>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</si>
  <si>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</si>
  <si>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</si>
  <si>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</si>
  <si>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</si>
  <si>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</si>
  <si>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</si>
  <si>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</si>
  <si>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</si>
  <si>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</si>
  <si>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</si>
  <si>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</si>
  <si>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</si>
  <si>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</si>
  <si>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</si>
  <si>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</si>
  <si>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</si>
  <si>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</si>
  <si>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</si>
  <si>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</si>
  <si>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</si>
  <si>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</si>
  <si>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</si>
  <si>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</si>
  <si>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</si>
  <si>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</si>
  <si>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</si>
  <si>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</si>
  <si>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</si>
  <si>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</si>
  <si>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</si>
  <si>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</si>
  <si>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</si>
  <si>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</si>
  <si>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</si>
  <si>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</si>
  <si>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</si>
  <si>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</si>
  <si>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</si>
  <si>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</si>
  <si>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</si>
  <si>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</si>
  <si>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</si>
  <si>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</si>
  <si>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</si>
  <si>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</si>
  <si>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</si>
  <si>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</si>
  <si>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</si>
  <si>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</si>
  <si>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</si>
  <si>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</si>
  <si>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</si>
  <si>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</si>
  <si>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</si>
  <si>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</si>
  <si>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</si>
  <si>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</si>
  <si>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</si>
  <si>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</si>
  <si>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</si>
  <si>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</si>
  <si>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</si>
  <si>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</si>
  <si>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</si>
  <si>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</si>
  <si>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</si>
  <si>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</si>
  <si>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</si>
  <si>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</si>
  <si>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</si>
  <si>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</si>
  <si>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</si>
  <si>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</si>
  <si>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</si>
  <si>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</si>
  <si>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</si>
  <si>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</si>
  <si>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</si>
  <si>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</si>
  <si>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</si>
  <si>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</si>
  <si>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</si>
  <si>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</si>
  <si>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</si>
  <si>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</si>
  <si>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</si>
  <si>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</si>
  <si>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</si>
  <si>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</si>
  <si>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</si>
  <si>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</si>
  <si>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</si>
  <si>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</si>
  <si>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</si>
  <si>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</si>
  <si>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</si>
  <si>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</si>
  <si>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</si>
  <si>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</si>
  <si>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</si>
  <si>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</si>
  <si>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</si>
  <si>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</si>
  <si>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</si>
  <si>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</si>
  <si>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</si>
  <si>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</si>
  <si>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</si>
  <si>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</si>
  <si>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</si>
  <si>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</si>
  <si>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</si>
  <si>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</si>
  <si>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</si>
  <si>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</si>
  <si>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</si>
  <si>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</si>
  <si>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</si>
  <si>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</si>
  <si>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</si>
  <si>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</si>
  <si>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</si>
  <si>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</si>
  <si>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</si>
  <si>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</si>
  <si>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</si>
  <si>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</si>
  <si>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</si>
  <si>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</si>
  <si>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</si>
  <si>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</si>
  <si>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</si>
  <si>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</si>
  <si>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</si>
  <si>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</si>
  <si>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</si>
  <si>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</si>
  <si>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</si>
  <si>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</si>
  <si>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</si>
  <si>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</si>
  <si>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</si>
  <si>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</si>
  <si>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</si>
  <si>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</si>
  <si>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</si>
  <si>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</si>
  <si>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</si>
  <si>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</si>
  <si>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</si>
  <si>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</si>
  <si>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</si>
  <si>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</si>
  <si>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</si>
  <si>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</si>
  <si>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</si>
  <si>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</si>
  <si>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</si>
  <si>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</si>
  <si>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</si>
  <si>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</si>
  <si>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</si>
  <si>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</si>
  <si>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</si>
  <si>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</si>
  <si>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</si>
  <si>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</si>
  <si>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</si>
  <si>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</si>
  <si>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</si>
  <si>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</si>
  <si>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</si>
  <si>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</si>
  <si>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</si>
  <si>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</si>
  <si>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</si>
  <si>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</si>
  <si>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</si>
  <si>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</si>
  <si>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</si>
  <si>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</si>
  <si>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</si>
  <si>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</si>
  <si>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</si>
  <si>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</si>
  <si>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</si>
  <si>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</si>
  <si>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</si>
  <si>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</si>
  <si>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</si>
  <si>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</si>
  <si>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</si>
  <si>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</si>
  <si>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</si>
  <si>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</si>
  <si>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</si>
  <si>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</si>
  <si>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</si>
  <si>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</si>
  <si>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</si>
  <si>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</si>
  <si>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</si>
  <si>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</si>
  <si>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</si>
  <si>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</si>
  <si>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</si>
  <si>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</si>
  <si>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</si>
  <si>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</si>
  <si>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</si>
  <si>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</si>
  <si>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</si>
  <si>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</si>
  <si>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</si>
  <si>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</si>
  <si>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</si>
  <si>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</si>
  <si>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</si>
  <si>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</si>
  <si>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</si>
  <si>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</si>
  <si>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</si>
  <si>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</si>
  <si>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</si>
  <si>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</si>
  <si>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</si>
  <si>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</si>
  <si>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</si>
  <si>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</si>
  <si>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</si>
  <si>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</si>
  <si>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</si>
  <si>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</si>
  <si>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</si>
  <si>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</si>
  <si>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</si>
  <si>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</si>
  <si>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</si>
  <si>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</si>
  <si>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</si>
  <si>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</si>
  <si>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</si>
  <si>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</si>
  <si>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</si>
  <si>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</si>
  <si>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</si>
  <si>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</si>
  <si>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</si>
  <si>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</si>
  <si>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</si>
  <si>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</si>
  <si>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</si>
  <si>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</si>
  <si>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</si>
  <si>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</si>
  <si>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</si>
  <si>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</si>
  <si>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</si>
  <si>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</si>
  <si>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</si>
  <si>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</si>
  <si>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</si>
  <si>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</si>
  <si>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</si>
  <si>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</si>
  <si>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</si>
  <si>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</si>
  <si>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</si>
  <si>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</si>
  <si>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</si>
  <si>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</si>
  <si>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</si>
  <si>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</si>
  <si>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</si>
  <si>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</si>
  <si>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</si>
  <si>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</si>
  <si>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</si>
  <si>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</si>
  <si>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Éves eredeti kiadási előirányzat: …………… Ft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</si>
  <si>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</si>
  <si>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</si>
  <si>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</si>
  <si>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</si>
  <si>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</si>
  <si>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</si>
  <si>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</si>
  <si>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</si>
  <si>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</si>
  <si>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</si>
  <si>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</si>
  <si>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</si>
  <si>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</si>
  <si>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</si>
  <si>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</si>
  <si>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</si>
  <si>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</si>
  <si>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</si>
  <si>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ALAPADATOK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</si>
  <si>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</si>
  <si>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</si>
  <si>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</si>
  <si>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</si>
  <si>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</si>
  <si>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</si>
  <si>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</si>
  <si>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</si>
  <si>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</si>
  <si>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</si>
  <si>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2 kvi név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</si>
  <si>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</si>
  <si>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</si>
  <si>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</si>
  <si>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</si>
  <si>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</si>
  <si>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</si>
  <si>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</si>
  <si>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BEVÉTELEI, KIADÁSAI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</si>
  <si>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</si>
  <si>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</si>
  <si>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</si>
  <si>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</si>
  <si>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</si>
  <si>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</si>
  <si>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</si>
  <si>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</si>
  <si>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</si>
  <si>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</si>
  <si>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</si>
  <si>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</si>
  <si>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</si>
  <si>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</si>
  <si>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</si>
  <si>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</si>
  <si>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</si>
  <si>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</si>
  <si>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</si>
  <si>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</si>
  <si>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</si>
  <si>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</si>
  <si>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</si>
  <si>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</si>
  <si>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</si>
  <si>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</si>
  <si>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</si>
  <si>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</si>
  <si>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</si>
  <si>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</si>
  <si>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</si>
  <si>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</si>
  <si>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</si>
  <si>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</si>
  <si>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</si>
  <si>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</si>
  <si>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</si>
  <si>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</si>
  <si>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</si>
  <si>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Polgármesteri/Közös hivatal költségvetési táblái (9.2.1., 9.2.2., 9.2.3.)</t>
  </si>
  <si>
    <t>9.3. melléklet</t>
  </si>
  <si>
    <t>9.4. melléklet</t>
  </si>
  <si>
    <t>/</t>
  </si>
  <si>
    <t>(</t>
  </si>
  <si>
    <t>)</t>
  </si>
  <si>
    <t>a</t>
  </si>
  <si>
    <t>önkormányzati rendelethez</t>
  </si>
  <si>
    <t>9.5. melléklet</t>
  </si>
  <si>
    <t>9.6. melléklet</t>
  </si>
  <si>
    <t>9.7. melléklet</t>
  </si>
  <si>
    <t>9.8. melléklet</t>
  </si>
  <si>
    <t>9.9. melléklet</t>
  </si>
  <si>
    <t>9.10. melléklet</t>
  </si>
  <si>
    <t>9.11. melléklet</t>
  </si>
  <si>
    <t>9.12. melléklet</t>
  </si>
  <si>
    <t>10. melléklet</t>
  </si>
  <si>
    <t>1. számú tájékoztató tábla</t>
  </si>
  <si>
    <t>2. számú tájékoztató tábla</t>
  </si>
  <si>
    <t>3.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</si>
  <si>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</si>
  <si>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</si>
  <si>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</si>
  <si>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</si>
  <si>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Adatszolgáltatás az elismert tartozásállományról</t>
  </si>
  <si>
    <t>Az önkormányzat által adott közvetett támogatások (kedvezmények)</t>
  </si>
  <si>
    <t>Európai uniós támogatással megvalósuló projektek</t>
  </si>
  <si>
    <t>Előterjesztéskor</t>
  </si>
  <si>
    <t xml:space="preserve">3 kvi név  </t>
  </si>
  <si>
    <t>…………………… Polgármesteri /Közös Önkormányzati Hivatal</t>
  </si>
  <si>
    <t>Forintban</t>
  </si>
  <si>
    <t>Egyéb</t>
  </si>
  <si>
    <t>Telekadó</t>
  </si>
  <si>
    <t>Mellékletben külön?</t>
  </si>
  <si>
    <t>.</t>
  </si>
  <si>
    <t>2019. évi LXXI.
törvény 2.  melléklete száma*</t>
  </si>
  <si>
    <t>* Magyarország 2020. évi központi költségvetéséról szóló törvény</t>
  </si>
  <si>
    <t>Támogatási szerződés szerinti bevételek, kiadások</t>
  </si>
  <si>
    <t>Évenkénti ütemezés</t>
  </si>
  <si>
    <t>B=(C+D+E)</t>
  </si>
  <si>
    <t xml:space="preserve">Önkormányzaton kívüli EU-s projekthez történő hozzájárulás </t>
  </si>
  <si>
    <t xml:space="preserve">Összesen: </t>
  </si>
  <si>
    <r>
      <t>EU-s projekt neve, azonosítója:</t>
    </r>
    <r>
      <rPr>
        <sz val="11"/>
        <rFont val="Times New Roman"/>
        <family val="1"/>
      </rPr>
      <t xml:space="preserve"> </t>
    </r>
  </si>
  <si>
    <t xml:space="preserve">* Amennyiben több projekt megvalósítása történi egy időben akkor azokat külön-külön, projektenként be kell mutatni!  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</si>
  <si>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</si>
  <si>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</si>
  <si>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</si>
  <si>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</si>
  <si>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</si>
  <si>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</si>
  <si>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Nem</t>
  </si>
  <si>
    <t>BALATONGYÖRÖK KÖZSÉG ÖNKORMÁNYZATA</t>
  </si>
  <si>
    <t>BERTHA BULCSU MŰVELŐDÉSI HÁZ ÉS KÖNYVTÁR</t>
  </si>
  <si>
    <t>Egyéb adó</t>
  </si>
  <si>
    <t>Települési adó</t>
  </si>
  <si>
    <t>EU-s projekt neve, azonosítója: VP-6.7.2.1-7.4.2-16 sz. Külterületi utak felújítása, Temető utca külterületi része</t>
  </si>
  <si>
    <r>
      <t>EU-s projekt neve, azonosítója: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VP-6-7.4.1.1-16 sz. Településképet meghatározó épületek rekonstrukciója. Kossuth Lajos utca 14-16. sz alatti épület</t>
    </r>
  </si>
  <si>
    <r>
      <t>EU-s projekt neve, azonosítója: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GINOP-7.1.9.17-2018-00015 sz. "Festetics örökség bemutatása és hálózatba kapcsolását célzó termék- és infrastruktúra fejlesztés I. ütem"</t>
    </r>
  </si>
  <si>
    <r>
      <t>EU-s projekt neve, azonosítója: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GINOP-7.1.9.17-2018-00023 sz. "Veszprém turisztikai attraktivitásának fejlesztése"</t>
    </r>
  </si>
  <si>
    <t>I.1.ba jogcím: A zöldterület-gazdálkodással kapcsolatos feladatok ellátásának támogatása</t>
  </si>
  <si>
    <t>I.1.bb jogcím: Közvilágítás fenntartásának támogatása</t>
  </si>
  <si>
    <t>I.1.bc jogcím: Köztemető fenntartással kapcsolatos feladatok támogatása</t>
  </si>
  <si>
    <t>I.1.bd jogcím: Közutak fenntartásának támogatása</t>
  </si>
  <si>
    <t>I.1.c jogcím:   Egyéb önkormányzati feladatok támogatása</t>
  </si>
  <si>
    <t>I.1.d jogcím:  Lakott külterülettel kapcsolatos feladatok támogatása</t>
  </si>
  <si>
    <t>I.1.e jogcím.  Üdülőhelyi feladatok támogatása</t>
  </si>
  <si>
    <t>IV.1.d jogcím: Települési önkormányzatok nyilvános könyvtári és a közművelődési feladatainak támogatása</t>
  </si>
  <si>
    <t>III.1. jogcím:  A települési önkormányzatok szociális feladatainak egyéb támogatása</t>
  </si>
  <si>
    <t>III.2.c (1) jogcím: Szociális étkeztetés</t>
  </si>
  <si>
    <t>I.5. Polgármesteri illetmény támogatása</t>
  </si>
  <si>
    <t>Balatongyöröki Turisztikai Egyesület</t>
  </si>
  <si>
    <t>működési célú támogatás</t>
  </si>
  <si>
    <t>Balatongyöröki Polgárőr Egyesület</t>
  </si>
  <si>
    <t>"Györöki Hamutiprók" Hagyományőrző Önkéntes Tűzóltó Egyesület</t>
  </si>
  <si>
    <t>Kék Balaton Fúvós Egyesület</t>
  </si>
  <si>
    <t>Balatongyöröki Honismereti Kör Egyesület</t>
  </si>
  <si>
    <t xml:space="preserve">Egyéb civil szervezetek </t>
  </si>
  <si>
    <t>Vonyarcvashegyi Nyitnikék Óvoda Társulás</t>
  </si>
  <si>
    <t>Vonyarcvashegy Nagyközség Önkormányzata, Közös Hivatal</t>
  </si>
  <si>
    <t>Keszthely Kistérégi Társulás, házi segítségnyújtás, jelzőrendszer fel.ell.</t>
  </si>
  <si>
    <t>Gyenesdiás Nagyközség Önkormányzata, gyermekorvos többlet fel.ell</t>
  </si>
  <si>
    <t>Vonyarcvashegy Nagyközség Önkormányzata, Általános Iskola portasz.</t>
  </si>
  <si>
    <t>Keszthely és Környéke Kistérségi Többcélú Társulás, belső ellenőr fel.ell.</t>
  </si>
  <si>
    <t>Zalaszántói Családsegítő- és Gyemekjóléti Szolgálat Társulása</t>
  </si>
  <si>
    <t>Balatoni Fejlesztési Tanács, "Mozdulj Balaton"</t>
  </si>
  <si>
    <t>Bursa Hungarica Felsőoktatási Önkormányzati támogatás</t>
  </si>
  <si>
    <t>Működési célú támogatás háztartásoknak, újszülött támogatás, óvoda-iskola kezdési támogatás, 50 éves házassági évforduló támogatás</t>
  </si>
  <si>
    <t>Immateriális javak beszerzése: rendezési terv felülvizsgálata, módosítása</t>
  </si>
  <si>
    <t>2019</t>
  </si>
  <si>
    <t>Tehergépjármű és traktor beszerzés</t>
  </si>
  <si>
    <t>Egyéb tárgyi eszköz, kisértékű tárgyi eszközök beszerzése</t>
  </si>
  <si>
    <t>Térfigyelő kamera rendszer beszerzése</t>
  </si>
  <si>
    <t>2020</t>
  </si>
  <si>
    <t>Immateriális javak beszerzése, bölcsöde, óvoda kiviteli terv</t>
  </si>
  <si>
    <t>Immateriális javak beszerzése, egyéb tervek</t>
  </si>
  <si>
    <t>Informatikai eszközök beszerzése</t>
  </si>
  <si>
    <t>VP-6-7.2.1-7.4.2-16 pályázat külterületi útak felújítása pályázat</t>
  </si>
  <si>
    <t>VP-6-7.4.1.1-16 Településképet meghatározó ép.rekonstr. pályázat</t>
  </si>
  <si>
    <t>Szépkilátói strand fejlesztése</t>
  </si>
  <si>
    <t>GINOP pályázatok, Székilátó fejlesztése</t>
  </si>
  <si>
    <t>Eötvös utca útburkolat felújítása, középső szakasz</t>
  </si>
  <si>
    <t>Eötvös utca útburkolat felújítása, felső szakasz</t>
  </si>
  <si>
    <t>Eötvös utca felső szakasz járda építés</t>
  </si>
  <si>
    <t>Községi strand fejlesztése, pályázati forrásból</t>
  </si>
  <si>
    <t>2019-2020</t>
  </si>
  <si>
    <t>2019-2021</t>
  </si>
  <si>
    <t>Balatongyörök kulturális értékeinek fejlesztése, Bertha Bulcsu szobor, Kossuth Lajos szobor körüli park fejlesztése</t>
  </si>
  <si>
    <t>TOP-3.2.1-16-16-ZA1-2018-00010 pályázat Polgármesteri Hivatal energetikai fejlesztése</t>
  </si>
  <si>
    <t>2018-2020</t>
  </si>
  <si>
    <t>Rendezési terv felülvizsgálata, módosítása</t>
  </si>
  <si>
    <t>2018</t>
  </si>
  <si>
    <t>Bölcsöde épitési koncepció, építési és kiviteli terv</t>
  </si>
  <si>
    <t>Óvoda épitési koncepció, építési és kiviteli terv</t>
  </si>
  <si>
    <t>2016</t>
  </si>
  <si>
    <t>II. 21.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</si>
</sst>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  <numFmt numFmtId="175" formatCode="#,##0.0"/>
  </numFmts>
  <fonts count="10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i/>
      <sz val="9"/>
      <name val="Times New Roman CE"/>
      <family val="0"/>
    </font>
    <font>
      <b/>
      <i/>
      <sz val="8"/>
      <name val="Times New Roman"/>
      <family val="1"/>
    </font>
    <font>
      <i/>
      <sz val="12"/>
      <name val="Times New Roman CE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i/>
      <sz val="12"/>
      <color indexed="8"/>
      <name val="Calibri"/>
      <family val="2"/>
    </font>
    <font>
      <sz val="10"/>
      <color indexed="9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b/>
      <i/>
      <sz val="11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8"/>
      <color rgb="FFFF0000"/>
      <name val="Times New Roman CE"/>
      <family val="0"/>
    </font>
    <font>
      <sz val="12"/>
      <color rgb="FFFF0000"/>
      <name val="Times New Roman CE"/>
      <family val="0"/>
    </font>
    <font>
      <i/>
      <sz val="12"/>
      <color theme="1"/>
      <name val="Calibri"/>
      <family val="2"/>
    </font>
    <font>
      <sz val="10"/>
      <color theme="0"/>
      <name val="Times New Roman CE"/>
      <family val="0"/>
    </font>
    <font>
      <b/>
      <sz val="14"/>
      <color rgb="FF000000"/>
      <name val="Times New Roman"/>
      <family val="1"/>
    </font>
    <font>
      <b/>
      <sz val="12"/>
      <color rgb="FFFF0000"/>
      <name val="Times New Roman CE"/>
      <family val="0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0" fillId="22" borderId="7" applyNumberFormat="0" applyFont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82" fillId="29" borderId="0" applyNumberFormat="0" applyBorder="0" applyAlignment="0" applyProtection="0"/>
    <xf numFmtId="0" fontId="83" fillId="30" borderId="8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88" fillId="32" borderId="0" applyNumberFormat="0" applyBorder="0" applyAlignment="0" applyProtection="0"/>
    <xf numFmtId="0" fontId="89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2">
    <xf numFmtId="0" fontId="0" fillId="0" borderId="0" xfId="0" applyAlignment="1">
      <alignment/>
    </xf>
    <xf numFmtId="0" fontId="0" fillId="0" borderId="0" xfId="60" applyFont="1" applyFill="1">
      <alignment/>
      <protection/>
    </xf>
    <xf numFmtId="166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0" applyFont="1" applyFill="1" applyBorder="1" applyAlignment="1" applyProtection="1">
      <alignment horizontal="center" vertical="center" wrapText="1"/>
      <protection/>
    </xf>
    <xf numFmtId="0" fontId="6" fillId="0" borderId="0" xfId="60" applyFont="1" applyFill="1" applyBorder="1" applyAlignment="1" applyProtection="1">
      <alignment vertical="center" wrapText="1"/>
      <protection/>
    </xf>
    <xf numFmtId="0" fontId="17" fillId="0" borderId="10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3" xfId="60" applyFont="1" applyFill="1" applyBorder="1" applyAlignment="1" applyProtection="1">
      <alignment horizontal="left" vertical="center" wrapText="1" indent="1"/>
      <protection/>
    </xf>
    <xf numFmtId="0" fontId="17" fillId="0" borderId="14" xfId="60" applyFont="1" applyFill="1" applyBorder="1" applyAlignment="1" applyProtection="1">
      <alignment horizontal="left" vertical="center" wrapText="1" indent="1"/>
      <protection/>
    </xf>
    <xf numFmtId="0" fontId="17" fillId="0" borderId="15" xfId="60" applyFont="1" applyFill="1" applyBorder="1" applyAlignment="1" applyProtection="1">
      <alignment horizontal="left" vertical="center" wrapText="1" indent="1"/>
      <protection/>
    </xf>
    <xf numFmtId="49" fontId="17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0" applyFont="1" applyFill="1" applyBorder="1" applyAlignment="1" applyProtection="1">
      <alignment horizontal="left" vertical="center" wrapText="1" indent="1"/>
      <protection/>
    </xf>
    <xf numFmtId="0" fontId="15" fillId="0" borderId="22" xfId="60" applyFont="1" applyFill="1" applyBorder="1" applyAlignment="1" applyProtection="1">
      <alignment horizontal="left" vertical="center" wrapText="1" indent="1"/>
      <protection/>
    </xf>
    <xf numFmtId="0" fontId="15" fillId="0" borderId="23" xfId="60" applyFont="1" applyFill="1" applyBorder="1" applyAlignment="1" applyProtection="1">
      <alignment horizontal="left" vertical="center" wrapText="1" indent="1"/>
      <protection/>
    </xf>
    <xf numFmtId="0" fontId="15" fillId="0" borderId="24" xfId="60" applyFont="1" applyFill="1" applyBorder="1" applyAlignment="1" applyProtection="1">
      <alignment horizontal="left" vertical="center" wrapText="1" indent="1"/>
      <protection/>
    </xf>
    <xf numFmtId="0" fontId="7" fillId="0" borderId="22" xfId="60" applyFont="1" applyFill="1" applyBorder="1" applyAlignment="1" applyProtection="1">
      <alignment horizontal="center" vertical="center" wrapText="1"/>
      <protection/>
    </xf>
    <xf numFmtId="0" fontId="7" fillId="0" borderId="23" xfId="60" applyFont="1" applyFill="1" applyBorder="1" applyAlignment="1" applyProtection="1">
      <alignment horizontal="center" vertical="center" wrapText="1"/>
      <protection/>
    </xf>
    <xf numFmtId="166" fontId="17" fillId="0" borderId="11" xfId="0" applyNumberFormat="1" applyFont="1" applyFill="1" applyBorder="1" applyAlignment="1" applyProtection="1">
      <alignment vertical="center" wrapText="1"/>
      <protection locked="0"/>
    </xf>
    <xf numFmtId="166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60" applyFont="1" applyFill="1" applyBorder="1" applyAlignment="1" applyProtection="1">
      <alignment vertical="center" wrapText="1"/>
      <protection/>
    </xf>
    <xf numFmtId="0" fontId="15" fillId="0" borderId="25" xfId="60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60" applyFont="1" applyFill="1" applyBorder="1" applyAlignment="1" applyProtection="1">
      <alignment horizontal="center" vertical="center" wrapText="1"/>
      <protection/>
    </xf>
    <xf numFmtId="0" fontId="15" fillId="0" borderId="23" xfId="60" applyFont="1" applyFill="1" applyBorder="1" applyAlignment="1" applyProtection="1">
      <alignment horizontal="center" vertical="center" wrapText="1"/>
      <protection/>
    </xf>
    <xf numFmtId="0" fontId="19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61" applyFont="1" applyFill="1" applyBorder="1" applyAlignment="1" applyProtection="1">
      <alignment horizontal="left" vertical="center" indent="1"/>
      <protection/>
    </xf>
    <xf numFmtId="0" fontId="2" fillId="0" borderId="0" xfId="60" applyFill="1">
      <alignment/>
      <protection/>
    </xf>
    <xf numFmtId="0" fontId="17" fillId="0" borderId="0" xfId="60" applyFont="1" applyFill="1">
      <alignment/>
      <protection/>
    </xf>
    <xf numFmtId="0" fontId="18" fillId="0" borderId="0" xfId="60" applyFont="1" applyFill="1">
      <alignment/>
      <protection/>
    </xf>
    <xf numFmtId="166" fontId="0" fillId="0" borderId="0" xfId="0" applyNumberFormat="1" applyFill="1" applyAlignment="1">
      <alignment vertical="center" wrapText="1"/>
    </xf>
    <xf numFmtId="166" fontId="0" fillId="0" borderId="0" xfId="0" applyNumberForma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Alignment="1">
      <alignment horizontal="center" vertical="center" wrapText="1"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6" fontId="21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6" fontId="7" fillId="0" borderId="26" xfId="0" applyNumberFormat="1" applyFont="1" applyFill="1" applyBorder="1" applyAlignment="1" applyProtection="1">
      <alignment horizontal="center" vertical="center" wrapText="1"/>
      <protection/>
    </xf>
    <xf numFmtId="166" fontId="15" fillId="0" borderId="27" xfId="0" applyNumberFormat="1" applyFont="1" applyFill="1" applyBorder="1" applyAlignment="1" applyProtection="1">
      <alignment horizontal="center" vertical="center" wrapText="1"/>
      <protection/>
    </xf>
    <xf numFmtId="166" fontId="15" fillId="0" borderId="28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17" fillId="0" borderId="29" xfId="0" applyNumberFormat="1" applyFont="1" applyFill="1" applyBorder="1" applyAlignment="1" applyProtection="1">
      <alignment vertical="center" wrapText="1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30" xfId="0" applyNumberFormat="1" applyFont="1" applyFill="1" applyBorder="1" applyAlignment="1" applyProtection="1">
      <alignment vertical="center" wrapText="1"/>
      <protection/>
    </xf>
    <xf numFmtId="166" fontId="15" fillId="0" borderId="23" xfId="0" applyNumberFormat="1" applyFont="1" applyFill="1" applyBorder="1" applyAlignment="1" applyProtection="1">
      <alignment vertical="center" wrapText="1"/>
      <protection/>
    </xf>
    <xf numFmtId="166" fontId="15" fillId="0" borderId="26" xfId="0" applyNumberFormat="1" applyFont="1" applyFill="1" applyBorder="1" applyAlignment="1" applyProtection="1">
      <alignment vertical="center" wrapText="1"/>
      <protection/>
    </xf>
    <xf numFmtId="166" fontId="3" fillId="0" borderId="0" xfId="0" applyNumberFormat="1" applyFont="1" applyFill="1" applyAlignment="1">
      <alignment vertical="center" wrapText="1"/>
    </xf>
    <xf numFmtId="166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11" xfId="0" applyNumberFormat="1" applyFont="1" applyFill="1" applyBorder="1" applyAlignment="1" applyProtection="1">
      <alignment vertical="center" wrapText="1"/>
      <protection locked="0"/>
    </xf>
    <xf numFmtId="166" fontId="14" fillId="0" borderId="29" xfId="0" applyNumberFormat="1" applyFont="1" applyFill="1" applyBorder="1" applyAlignment="1" applyProtection="1">
      <alignment vertical="center" wrapText="1"/>
      <protection/>
    </xf>
    <xf numFmtId="166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6" fontId="14" fillId="0" borderId="15" xfId="0" applyNumberFormat="1" applyFont="1" applyFill="1" applyBorder="1" applyAlignment="1" applyProtection="1">
      <alignment vertical="center" wrapText="1"/>
      <protection locked="0"/>
    </xf>
    <xf numFmtId="166" fontId="14" fillId="0" borderId="30" xfId="0" applyNumberFormat="1" applyFont="1" applyFill="1" applyBorder="1" applyAlignment="1" applyProtection="1">
      <alignment vertical="center" wrapText="1"/>
      <protection/>
    </xf>
    <xf numFmtId="166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6" fontId="17" fillId="0" borderId="31" xfId="0" applyNumberFormat="1" applyFont="1" applyFill="1" applyBorder="1" applyAlignment="1" applyProtection="1">
      <alignment vertical="center" wrapText="1"/>
      <protection/>
    </xf>
    <xf numFmtId="166" fontId="9" fillId="0" borderId="0" xfId="0" applyNumberFormat="1" applyFont="1" applyFill="1" applyAlignment="1">
      <alignment horizontal="center" vertical="center" wrapText="1"/>
    </xf>
    <xf numFmtId="166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6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3" xfId="0" applyFont="1" applyFill="1" applyBorder="1" applyAlignment="1" applyProtection="1">
      <alignment vertical="center" wrapText="1"/>
      <protection locked="0"/>
    </xf>
    <xf numFmtId="166" fontId="17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1" applyFont="1" applyFill="1" applyBorder="1" applyAlignment="1" applyProtection="1">
      <alignment horizontal="center" vertical="center" wrapText="1"/>
      <protection/>
    </xf>
    <xf numFmtId="0" fontId="7" fillId="0" borderId="25" xfId="61" applyFont="1" applyFill="1" applyBorder="1" applyAlignment="1" applyProtection="1">
      <alignment horizontal="center" vertical="center"/>
      <protection/>
    </xf>
    <xf numFmtId="0" fontId="7" fillId="0" borderId="35" xfId="61" applyFont="1" applyFill="1" applyBorder="1" applyAlignment="1" applyProtection="1">
      <alignment horizontal="center" vertical="center"/>
      <protection/>
    </xf>
    <xf numFmtId="0" fontId="2" fillId="0" borderId="0" xfId="61" applyFill="1" applyProtection="1">
      <alignment/>
      <protection/>
    </xf>
    <xf numFmtId="0" fontId="17" fillId="0" borderId="22" xfId="61" applyFont="1" applyFill="1" applyBorder="1" applyAlignment="1" applyProtection="1">
      <alignment horizontal="left" vertical="center" indent="1"/>
      <protection/>
    </xf>
    <xf numFmtId="0" fontId="2" fillId="0" borderId="0" xfId="61" applyFill="1" applyAlignment="1" applyProtection="1">
      <alignment vertical="center"/>
      <protection/>
    </xf>
    <xf numFmtId="0" fontId="17" fillId="0" borderId="16" xfId="61" applyFont="1" applyFill="1" applyBorder="1" applyAlignment="1" applyProtection="1">
      <alignment horizontal="left" vertical="center" indent="1"/>
      <protection/>
    </xf>
    <xf numFmtId="166" fontId="17" fillId="0" borderId="36" xfId="61" applyNumberFormat="1" applyFont="1" applyFill="1" applyBorder="1" applyAlignment="1" applyProtection="1">
      <alignment vertical="center"/>
      <protection/>
    </xf>
    <xf numFmtId="0" fontId="17" fillId="0" borderId="17" xfId="61" applyFont="1" applyFill="1" applyBorder="1" applyAlignment="1" applyProtection="1">
      <alignment horizontal="left" vertical="center" indent="1"/>
      <protection/>
    </xf>
    <xf numFmtId="166" fontId="17" fillId="0" borderId="29" xfId="61" applyNumberFormat="1" applyFont="1" applyFill="1" applyBorder="1" applyAlignment="1" applyProtection="1">
      <alignment vertical="center"/>
      <protection/>
    </xf>
    <xf numFmtId="0" fontId="2" fillId="0" borderId="0" xfId="61" applyFill="1" applyAlignment="1" applyProtection="1">
      <alignment vertical="center"/>
      <protection locked="0"/>
    </xf>
    <xf numFmtId="166" fontId="17" fillId="0" borderId="32" xfId="61" applyNumberFormat="1" applyFont="1" applyFill="1" applyBorder="1" applyAlignment="1" applyProtection="1">
      <alignment vertical="center"/>
      <protection/>
    </xf>
    <xf numFmtId="166" fontId="15" fillId="0" borderId="26" xfId="61" applyNumberFormat="1" applyFont="1" applyFill="1" applyBorder="1" applyAlignment="1" applyProtection="1">
      <alignment vertical="center"/>
      <protection/>
    </xf>
    <xf numFmtId="0" fontId="17" fillId="0" borderId="18" xfId="61" applyFont="1" applyFill="1" applyBorder="1" applyAlignment="1" applyProtection="1">
      <alignment horizontal="left" vertical="center" indent="1"/>
      <protection/>
    </xf>
    <xf numFmtId="0" fontId="15" fillId="0" borderId="22" xfId="61" applyFont="1" applyFill="1" applyBorder="1" applyAlignment="1" applyProtection="1">
      <alignment horizontal="left" vertical="center" indent="1"/>
      <protection/>
    </xf>
    <xf numFmtId="166" fontId="15" fillId="0" borderId="26" xfId="61" applyNumberFormat="1" applyFont="1" applyFill="1" applyBorder="1" applyProtection="1">
      <alignment/>
      <protection/>
    </xf>
    <xf numFmtId="0" fontId="2" fillId="0" borderId="0" xfId="61" applyFill="1" applyProtection="1">
      <alignment/>
      <protection locked="0"/>
    </xf>
    <xf numFmtId="0" fontId="0" fillId="0" borderId="0" xfId="61" applyFont="1" applyFill="1" applyProtection="1">
      <alignment/>
      <protection/>
    </xf>
    <xf numFmtId="0" fontId="4" fillId="0" borderId="0" xfId="61" applyFont="1" applyFill="1" applyProtection="1">
      <alignment/>
      <protection locked="0"/>
    </xf>
    <xf numFmtId="0" fontId="6" fillId="0" borderId="0" xfId="61" applyFont="1" applyFill="1" applyProtection="1">
      <alignment/>
      <protection locked="0"/>
    </xf>
    <xf numFmtId="0" fontId="20" fillId="0" borderId="37" xfId="0" applyFont="1" applyFill="1" applyBorder="1" applyAlignment="1" applyProtection="1">
      <alignment horizontal="left" vertical="center" wrapText="1"/>
      <protection locked="0"/>
    </xf>
    <xf numFmtId="0" fontId="20" fillId="0" borderId="38" xfId="0" applyFont="1" applyFill="1" applyBorder="1" applyAlignment="1" applyProtection="1">
      <alignment horizontal="left" vertical="center" wrapText="1"/>
      <protection locked="0"/>
    </xf>
    <xf numFmtId="0" fontId="20" fillId="0" borderId="39" xfId="0" applyFont="1" applyFill="1" applyBorder="1" applyAlignment="1" applyProtection="1">
      <alignment horizontal="left" vertical="center" wrapText="1"/>
      <protection locked="0"/>
    </xf>
    <xf numFmtId="166" fontId="15" fillId="33" borderId="23" xfId="0" applyNumberFormat="1" applyFont="1" applyFill="1" applyBorder="1" applyAlignment="1" applyProtection="1">
      <alignment vertical="center" wrapText="1"/>
      <protection/>
    </xf>
    <xf numFmtId="166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60" applyFont="1" applyFill="1" applyBorder="1" applyAlignment="1" applyProtection="1">
      <alignment horizontal="left" vertical="center" wrapText="1" indent="1"/>
      <protection/>
    </xf>
    <xf numFmtId="0" fontId="6" fillId="0" borderId="0" xfId="60" applyFont="1" applyFill="1">
      <alignment/>
      <protection/>
    </xf>
    <xf numFmtId="166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5" fillId="0" borderId="23" xfId="60" applyFont="1" applyFill="1" applyBorder="1" applyAlignment="1" applyProtection="1">
      <alignment horizontal="left" vertical="center" wrapText="1"/>
      <protection/>
    </xf>
    <xf numFmtId="166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166" fontId="16" fillId="0" borderId="41" xfId="60" applyNumberFormat="1" applyFont="1" applyFill="1" applyBorder="1" applyAlignment="1" applyProtection="1">
      <alignment horizontal="left" vertical="center"/>
      <protection/>
    </xf>
    <xf numFmtId="0" fontId="17" fillId="0" borderId="28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indent="6"/>
      <protection/>
    </xf>
    <xf numFmtId="0" fontId="17" fillId="0" borderId="11" xfId="60" applyFont="1" applyFill="1" applyBorder="1" applyAlignment="1" applyProtection="1">
      <alignment horizontal="left" vertical="center" wrapText="1" indent="6"/>
      <protection/>
    </xf>
    <xf numFmtId="0" fontId="17" fillId="0" borderId="15" xfId="60" applyFont="1" applyFill="1" applyBorder="1" applyAlignment="1" applyProtection="1">
      <alignment horizontal="left" vertical="center" wrapText="1" indent="6"/>
      <protection/>
    </xf>
    <xf numFmtId="0" fontId="17" fillId="0" borderId="33" xfId="60" applyFont="1" applyFill="1" applyBorder="1" applyAlignment="1" applyProtection="1">
      <alignment horizontal="left" vertical="center" wrapText="1" indent="6"/>
      <protection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0" fillId="0" borderId="0" xfId="60" applyFont="1" applyFill="1" applyBorder="1">
      <alignment/>
      <protection/>
    </xf>
    <xf numFmtId="0" fontId="1" fillId="0" borderId="0" xfId="60" applyFont="1" applyFill="1">
      <alignment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8" xfId="60" applyFont="1" applyFill="1" applyBorder="1" applyAlignment="1">
      <alignment horizontal="center" vertical="center"/>
      <protection/>
    </xf>
    <xf numFmtId="0" fontId="0" fillId="0" borderId="22" xfId="60" applyFont="1" applyFill="1" applyBorder="1" applyAlignment="1">
      <alignment horizontal="center" vertical="center"/>
      <protection/>
    </xf>
    <xf numFmtId="0" fontId="0" fillId="0" borderId="23" xfId="60" applyFont="1" applyFill="1" applyBorder="1" applyAlignment="1">
      <alignment horizontal="center" vertical="center"/>
      <protection/>
    </xf>
    <xf numFmtId="0" fontId="0" fillId="0" borderId="26" xfId="60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3" fillId="0" borderId="23" xfId="60" applyFont="1" applyFill="1" applyBorder="1">
      <alignment/>
      <protection/>
    </xf>
    <xf numFmtId="0" fontId="7" fillId="0" borderId="42" xfId="6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6" fontId="17" fillId="0" borderId="12" xfId="0" applyNumberFormat="1" applyFont="1" applyFill="1" applyBorder="1" applyAlignment="1" applyProtection="1">
      <alignment vertical="center"/>
      <protection locked="0"/>
    </xf>
    <xf numFmtId="166" fontId="17" fillId="0" borderId="11" xfId="0" applyNumberFormat="1" applyFont="1" applyFill="1" applyBorder="1" applyAlignment="1" applyProtection="1">
      <alignment vertical="center"/>
      <protection locked="0"/>
    </xf>
    <xf numFmtId="166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60" applyFont="1" applyFill="1" applyBorder="1" applyProtection="1">
      <alignment/>
      <protection locked="0"/>
    </xf>
    <xf numFmtId="0" fontId="0" fillId="0" borderId="11" xfId="60" applyFont="1" applyFill="1" applyBorder="1" applyProtection="1">
      <alignment/>
      <protection locked="0"/>
    </xf>
    <xf numFmtId="0" fontId="0" fillId="0" borderId="15" xfId="60" applyFont="1" applyFill="1" applyBorder="1" applyProtection="1">
      <alignment/>
      <protection locked="0"/>
    </xf>
    <xf numFmtId="0" fontId="17" fillId="0" borderId="22" xfId="60" applyFont="1" applyFill="1" applyBorder="1" applyAlignment="1" applyProtection="1">
      <alignment horizontal="center" vertical="center"/>
      <protection/>
    </xf>
    <xf numFmtId="0" fontId="17" fillId="0" borderId="20" xfId="60" applyFont="1" applyFill="1" applyBorder="1" applyAlignment="1" applyProtection="1">
      <alignment horizontal="center" vertical="center"/>
      <protection/>
    </xf>
    <xf numFmtId="0" fontId="17" fillId="0" borderId="17" xfId="60" applyFont="1" applyFill="1" applyBorder="1" applyAlignment="1" applyProtection="1">
      <alignment horizontal="center" vertical="center"/>
      <protection/>
    </xf>
    <xf numFmtId="0" fontId="17" fillId="0" borderId="19" xfId="60" applyFont="1" applyFill="1" applyBorder="1" applyAlignment="1" applyProtection="1">
      <alignment horizontal="center" vertical="center"/>
      <protection/>
    </xf>
    <xf numFmtId="168" fontId="15" fillId="0" borderId="26" xfId="40" applyNumberFormat="1" applyFont="1" applyFill="1" applyBorder="1" applyAlignment="1" applyProtection="1">
      <alignment/>
      <protection/>
    </xf>
    <xf numFmtId="168" fontId="17" fillId="0" borderId="43" xfId="40" applyNumberFormat="1" applyFont="1" applyFill="1" applyBorder="1" applyAlignment="1" applyProtection="1">
      <alignment/>
      <protection locked="0"/>
    </xf>
    <xf numFmtId="168" fontId="17" fillId="0" borderId="29" xfId="40" applyNumberFormat="1" applyFont="1" applyFill="1" applyBorder="1" applyAlignment="1" applyProtection="1">
      <alignment/>
      <protection locked="0"/>
    </xf>
    <xf numFmtId="168" fontId="17" fillId="0" borderId="30" xfId="40" applyNumberFormat="1" applyFont="1" applyFill="1" applyBorder="1" applyAlignment="1" applyProtection="1">
      <alignment/>
      <protection locked="0"/>
    </xf>
    <xf numFmtId="0" fontId="17" fillId="0" borderId="13" xfId="60" applyFont="1" applyFill="1" applyBorder="1" applyProtection="1">
      <alignment/>
      <protection locked="0"/>
    </xf>
    <xf numFmtId="0" fontId="17" fillId="0" borderId="11" xfId="60" applyFont="1" applyFill="1" applyBorder="1" applyProtection="1">
      <alignment/>
      <protection locked="0"/>
    </xf>
    <xf numFmtId="0" fontId="17" fillId="0" borderId="15" xfId="60" applyFont="1" applyFill="1" applyBorder="1" applyProtection="1">
      <alignment/>
      <protection locked="0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center" vertical="center" wrapText="1"/>
      <protection/>
    </xf>
    <xf numFmtId="166" fontId="7" fillId="0" borderId="23" xfId="0" applyNumberFormat="1" applyFont="1" applyFill="1" applyBorder="1" applyAlignment="1" applyProtection="1">
      <alignment horizontal="center" vertical="center" wrapText="1"/>
      <protection/>
    </xf>
    <xf numFmtId="166" fontId="7" fillId="0" borderId="22" xfId="0" applyNumberFormat="1" applyFont="1" applyFill="1" applyBorder="1" applyAlignment="1" applyProtection="1">
      <alignment horizontal="left" vertical="center" wrapText="1"/>
      <protection/>
    </xf>
    <xf numFmtId="166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1"/>
      <protection/>
    </xf>
    <xf numFmtId="0" fontId="20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6" fontId="15" fillId="0" borderId="28" xfId="0" applyNumberFormat="1" applyFont="1" applyFill="1" applyBorder="1" applyAlignment="1" applyProtection="1">
      <alignment vertical="center" wrapText="1"/>
      <protection/>
    </xf>
    <xf numFmtId="166" fontId="15" fillId="0" borderId="44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6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166" fontId="2" fillId="0" borderId="0" xfId="0" applyNumberFormat="1" applyFont="1" applyFill="1" applyAlignment="1" applyProtection="1">
      <alignment horizontal="left" vertical="center" wrapTex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166" fontId="14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166" fontId="7" fillId="0" borderId="47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4" fillId="0" borderId="48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8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7" fillId="0" borderId="18" xfId="0" applyFont="1" applyFill="1" applyBorder="1" applyAlignment="1" applyProtection="1">
      <alignment horizontal="center" vertical="center"/>
      <protection/>
    </xf>
    <xf numFmtId="166" fontId="15" fillId="0" borderId="32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6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6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6" fontId="15" fillId="0" borderId="23" xfId="0" applyNumberFormat="1" applyFont="1" applyFill="1" applyBorder="1" applyAlignment="1" applyProtection="1">
      <alignment vertical="center"/>
      <protection/>
    </xf>
    <xf numFmtId="166" fontId="15" fillId="0" borderId="26" xfId="0" applyNumberFormat="1" applyFont="1" applyFill="1" applyBorder="1" applyAlignment="1" applyProtection="1">
      <alignment vertical="center"/>
      <protection/>
    </xf>
    <xf numFmtId="0" fontId="0" fillId="0" borderId="51" xfId="0" applyFill="1" applyBorder="1" applyAlignment="1" applyProtection="1">
      <alignment/>
      <protection/>
    </xf>
    <xf numFmtId="0" fontId="5" fillId="0" borderId="51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6" fontId="15" fillId="0" borderId="42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52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2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6" fontId="7" fillId="0" borderId="54" xfId="0" applyNumberFormat="1" applyFont="1" applyFill="1" applyBorder="1" applyAlignment="1" applyProtection="1">
      <alignment horizontal="center" vertical="center"/>
      <protection/>
    </xf>
    <xf numFmtId="166" fontId="7" fillId="0" borderId="34" xfId="0" applyNumberFormat="1" applyFont="1" applyFill="1" applyBorder="1" applyAlignment="1" applyProtection="1">
      <alignment horizontal="center" vertical="center" wrapText="1"/>
      <protection/>
    </xf>
    <xf numFmtId="166" fontId="15" fillId="0" borderId="49" xfId="0" applyNumberFormat="1" applyFont="1" applyFill="1" applyBorder="1" applyAlignment="1" applyProtection="1">
      <alignment horizontal="center" vertical="center" wrapText="1"/>
      <protection/>
    </xf>
    <xf numFmtId="166" fontId="15" fillId="0" borderId="31" xfId="0" applyNumberFormat="1" applyFont="1" applyFill="1" applyBorder="1" applyAlignment="1" applyProtection="1">
      <alignment horizontal="center" vertical="center" wrapText="1"/>
      <protection/>
    </xf>
    <xf numFmtId="166" fontId="15" fillId="0" borderId="55" xfId="0" applyNumberFormat="1" applyFont="1" applyFill="1" applyBorder="1" applyAlignment="1" applyProtection="1">
      <alignment horizontal="center" vertical="center" wrapText="1"/>
      <protection/>
    </xf>
    <xf numFmtId="166" fontId="15" fillId="0" borderId="26" xfId="0" applyNumberFormat="1" applyFont="1" applyFill="1" applyBorder="1" applyAlignment="1" applyProtection="1">
      <alignment horizontal="center" vertical="center" wrapText="1"/>
      <protection/>
    </xf>
    <xf numFmtId="166" fontId="15" fillId="0" borderId="56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6" fontId="15" fillId="0" borderId="19" xfId="0" applyNumberFormat="1" applyFont="1" applyFill="1" applyBorder="1" applyAlignment="1" applyProtection="1">
      <alignment horizontal="center" vertical="center" wrapText="1"/>
      <protection/>
    </xf>
    <xf numFmtId="166" fontId="17" fillId="0" borderId="57" xfId="0" applyNumberFormat="1" applyFont="1" applyFill="1" applyBorder="1" applyAlignment="1" applyProtection="1">
      <alignment vertical="center" wrapText="1"/>
      <protection/>
    </xf>
    <xf numFmtId="166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indent="1"/>
      <protection/>
    </xf>
    <xf numFmtId="0" fontId="17" fillId="0" borderId="12" xfId="61" applyFont="1" applyFill="1" applyBorder="1" applyAlignment="1" applyProtection="1">
      <alignment horizontal="left" vertical="center" wrapText="1" indent="1"/>
      <protection/>
    </xf>
    <xf numFmtId="0" fontId="17" fillId="0" borderId="11" xfId="61" applyFont="1" applyFill="1" applyBorder="1" applyAlignment="1" applyProtection="1">
      <alignment horizontal="left" vertical="center" wrapText="1" indent="1"/>
      <protection/>
    </xf>
    <xf numFmtId="0" fontId="17" fillId="0" borderId="12" xfId="61" applyFont="1" applyFill="1" applyBorder="1" applyAlignment="1" applyProtection="1">
      <alignment horizontal="left" vertical="center" indent="1"/>
      <protection/>
    </xf>
    <xf numFmtId="0" fontId="7" fillId="0" borderId="23" xfId="61" applyFont="1" applyFill="1" applyBorder="1" applyAlignment="1" applyProtection="1">
      <alignment horizontal="left" indent="1"/>
      <protection/>
    </xf>
    <xf numFmtId="166" fontId="17" fillId="0" borderId="53" xfId="6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left" vertical="center" wrapText="1" indent="1"/>
      <protection/>
    </xf>
    <xf numFmtId="0" fontId="20" fillId="0" borderId="11" xfId="0" applyFont="1" applyBorder="1" applyAlignment="1" applyProtection="1">
      <alignment horizontal="left" vertical="center" wrapText="1" indent="1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21" fillId="0" borderId="27" xfId="0" applyFont="1" applyBorder="1" applyAlignment="1" applyProtection="1">
      <alignment horizontal="left" vertical="center" wrapText="1" indent="1"/>
      <protection/>
    </xf>
    <xf numFmtId="166" fontId="15" fillId="0" borderId="35" xfId="60" applyNumberFormat="1" applyFont="1" applyFill="1" applyBorder="1" applyAlignment="1" applyProtection="1">
      <alignment horizontal="right" vertical="center" wrapText="1" indent="1"/>
      <protection/>
    </xf>
    <xf numFmtId="166" fontId="15" fillId="0" borderId="26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60" applyNumberFormat="1" applyFont="1" applyFill="1" applyBorder="1" applyAlignment="1" applyProtection="1">
      <alignment horizontal="right" vertical="center" wrapText="1" indent="1"/>
      <protection/>
    </xf>
    <xf numFmtId="166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1" xfId="0" applyFont="1" applyFill="1" applyBorder="1" applyAlignment="1" applyProtection="1">
      <alignment horizontal="right" vertical="center"/>
      <protection/>
    </xf>
    <xf numFmtId="166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Fill="1" applyAlignment="1" applyProtection="1">
      <alignment horizontal="centerContinuous" vertical="center" wrapText="1"/>
      <protection/>
    </xf>
    <xf numFmtId="166" fontId="0" fillId="0" borderId="0" xfId="0" applyNumberFormat="1" applyFill="1" applyAlignment="1" applyProtection="1">
      <alignment horizontal="centerContinuous" vertical="center"/>
      <protection/>
    </xf>
    <xf numFmtId="166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6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15" fillId="0" borderId="31" xfId="0" applyNumberFormat="1" applyFont="1" applyFill="1" applyBorder="1" applyAlignment="1" applyProtection="1">
      <alignment horizontal="center" vertical="center" wrapText="1"/>
      <protection/>
    </xf>
    <xf numFmtId="166" fontId="15" fillId="0" borderId="22" xfId="0" applyNumberFormat="1" applyFont="1" applyFill="1" applyBorder="1" applyAlignment="1" applyProtection="1">
      <alignment horizontal="center" vertical="center" wrapText="1"/>
      <protection/>
    </xf>
    <xf numFmtId="166" fontId="15" fillId="0" borderId="23" xfId="0" applyNumberFormat="1" applyFont="1" applyFill="1" applyBorder="1" applyAlignment="1" applyProtection="1">
      <alignment horizontal="center" vertical="center" wrapText="1"/>
      <protection/>
    </xf>
    <xf numFmtId="166" fontId="15" fillId="0" borderId="26" xfId="0" applyNumberFormat="1" applyFont="1" applyFill="1" applyBorder="1" applyAlignment="1" applyProtection="1">
      <alignment horizontal="center" vertical="center" wrapText="1"/>
      <protection/>
    </xf>
    <xf numFmtId="166" fontId="15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59" xfId="0" applyNumberForma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60" xfId="0" applyNumberForma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61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5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6" fontId="22" fillId="0" borderId="11" xfId="0" applyNumberFormat="1" applyFont="1" applyFill="1" applyBorder="1" applyAlignment="1" applyProtection="1">
      <alignment horizontal="right" vertical="center" wrapText="1" indent="1"/>
      <protection/>
    </xf>
    <xf numFmtId="166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6" fontId="3" fillId="0" borderId="42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6" fontId="22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6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6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6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8" fontId="17" fillId="0" borderId="62" xfId="40" applyNumberFormat="1" applyFont="1" applyFill="1" applyBorder="1" applyAlignment="1" applyProtection="1">
      <alignment/>
      <protection locked="0"/>
    </xf>
    <xf numFmtId="168" fontId="17" fillId="0" borderId="52" xfId="40" applyNumberFormat="1" applyFont="1" applyFill="1" applyBorder="1" applyAlignment="1" applyProtection="1">
      <alignment/>
      <protection locked="0"/>
    </xf>
    <xf numFmtId="168" fontId="17" fillId="0" borderId="47" xfId="40" applyNumberFormat="1" applyFont="1" applyFill="1" applyBorder="1" applyAlignment="1" applyProtection="1">
      <alignment/>
      <protection locked="0"/>
    </xf>
    <xf numFmtId="0" fontId="17" fillId="0" borderId="12" xfId="60" applyFont="1" applyFill="1" applyBorder="1" applyProtection="1">
      <alignment/>
      <protection/>
    </xf>
    <xf numFmtId="166" fontId="7" fillId="0" borderId="47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6" fontId="15" fillId="0" borderId="42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/>
    </xf>
    <xf numFmtId="49" fontId="7" fillId="0" borderId="63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4" xfId="60" applyFont="1" applyFill="1" applyBorder="1" applyAlignment="1" applyProtection="1">
      <alignment horizontal="center" vertical="center" wrapText="1"/>
      <protection/>
    </xf>
    <xf numFmtId="0" fontId="6" fillId="0" borderId="64" xfId="60" applyFont="1" applyFill="1" applyBorder="1" applyAlignment="1" applyProtection="1">
      <alignment vertical="center" wrapText="1"/>
      <protection/>
    </xf>
    <xf numFmtId="166" fontId="6" fillId="0" borderId="64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60" applyFont="1" applyFill="1" applyBorder="1" applyAlignment="1" applyProtection="1">
      <alignment horizontal="right" vertical="center" wrapText="1" indent="1"/>
      <protection locked="0"/>
    </xf>
    <xf numFmtId="166" fontId="17" fillId="0" borderId="64" xfId="6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2" fillId="0" borderId="0" xfId="60" applyFont="1" applyFill="1">
      <alignment/>
      <protection/>
    </xf>
    <xf numFmtId="0" fontId="2" fillId="0" borderId="0" xfId="60" applyFont="1" applyFill="1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3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6" fontId="0" fillId="0" borderId="56" xfId="0" applyNumberFormat="1" applyFill="1" applyBorder="1" applyAlignment="1" applyProtection="1">
      <alignment horizontal="left" vertical="center" wrapText="1" indent="1"/>
      <protection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5" xfId="60" applyNumberFormat="1" applyFont="1" applyFill="1" applyBorder="1" applyAlignment="1" applyProtection="1">
      <alignment horizontal="right" vertical="center" wrapText="1" indent="1"/>
      <protection/>
    </xf>
    <xf numFmtId="166" fontId="15" fillId="0" borderId="23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7" fillId="0" borderId="48" xfId="60" applyFont="1" applyFill="1" applyBorder="1" applyAlignment="1" applyProtection="1">
      <alignment horizontal="center" vertical="center" wrapText="1"/>
      <protection/>
    </xf>
    <xf numFmtId="166" fontId="20" fillId="0" borderId="6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15" fillId="0" borderId="24" xfId="60" applyFont="1" applyFill="1" applyBorder="1" applyAlignment="1" applyProtection="1">
      <alignment horizontal="center" vertical="center" wrapText="1"/>
      <protection/>
    </xf>
    <xf numFmtId="0" fontId="15" fillId="0" borderId="25" xfId="60" applyFont="1" applyFill="1" applyBorder="1" applyAlignment="1" applyProtection="1">
      <alignment horizontal="center" vertical="center" wrapText="1"/>
      <protection/>
    </xf>
    <xf numFmtId="0" fontId="17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7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20" fillId="0" borderId="12" xfId="0" applyFont="1" applyBorder="1" applyAlignment="1" applyProtection="1">
      <alignment horizontal="left" wrapText="1" indent="1"/>
      <protection/>
    </xf>
    <xf numFmtId="0" fontId="20" fillId="0" borderId="11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horizontal="left" wrapText="1" indent="1"/>
      <protection/>
    </xf>
    <xf numFmtId="0" fontId="20" fillId="0" borderId="15" xfId="0" applyFont="1" applyBorder="1" applyAlignment="1" applyProtection="1">
      <alignment wrapText="1"/>
      <protection/>
    </xf>
    <xf numFmtId="0" fontId="20" fillId="0" borderId="18" xfId="0" applyFont="1" applyBorder="1" applyAlignment="1" applyProtection="1">
      <alignment wrapText="1"/>
      <protection/>
    </xf>
    <xf numFmtId="0" fontId="20" fillId="0" borderId="17" xfId="0" applyFont="1" applyBorder="1" applyAlignment="1" applyProtection="1">
      <alignment wrapText="1"/>
      <protection/>
    </xf>
    <xf numFmtId="0" fontId="20" fillId="0" borderId="19" xfId="0" applyFont="1" applyBorder="1" applyAlignment="1" applyProtection="1">
      <alignment wrapText="1"/>
      <protection/>
    </xf>
    <xf numFmtId="0" fontId="21" fillId="0" borderId="23" xfId="0" applyFont="1" applyBorder="1" applyAlignment="1" applyProtection="1">
      <alignment wrapText="1"/>
      <protection/>
    </xf>
    <xf numFmtId="0" fontId="21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166" fontId="19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0" xfId="60" applyFont="1" applyFill="1" applyProtection="1">
      <alignment/>
      <protection/>
    </xf>
    <xf numFmtId="0" fontId="6" fillId="0" borderId="0" xfId="60" applyFont="1" applyFill="1" applyProtection="1">
      <alignment/>
      <protection/>
    </xf>
    <xf numFmtId="0" fontId="2" fillId="0" borderId="0" xfId="60" applyFill="1" applyBorder="1" applyProtection="1">
      <alignment/>
      <protection/>
    </xf>
    <xf numFmtId="166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6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6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60" applyNumberFormat="1" applyFont="1" applyFill="1" applyBorder="1" applyAlignment="1" applyProtection="1">
      <alignment horizontal="center" vertical="center" wrapText="1"/>
      <protection/>
    </xf>
    <xf numFmtId="49" fontId="17" fillId="0" borderId="17" xfId="60" applyNumberFormat="1" applyFont="1" applyFill="1" applyBorder="1" applyAlignment="1" applyProtection="1">
      <alignment horizontal="center" vertical="center" wrapText="1"/>
      <protection/>
    </xf>
    <xf numFmtId="49" fontId="17" fillId="0" borderId="19" xfId="60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wrapText="1"/>
      <protection/>
    </xf>
    <xf numFmtId="0" fontId="20" fillId="0" borderId="18" xfId="0" applyFont="1" applyBorder="1" applyAlignment="1" applyProtection="1">
      <alignment horizontal="center" wrapText="1"/>
      <protection/>
    </xf>
    <xf numFmtId="0" fontId="20" fillId="0" borderId="17" xfId="0" applyFont="1" applyBorder="1" applyAlignment="1" applyProtection="1">
      <alignment horizontal="center" wrapText="1"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21" fillId="0" borderId="27" xfId="0" applyFont="1" applyBorder="1" applyAlignment="1" applyProtection="1">
      <alignment horizontal="center" wrapText="1"/>
      <protection/>
    </xf>
    <xf numFmtId="49" fontId="17" fillId="0" borderId="20" xfId="60" applyNumberFormat="1" applyFont="1" applyFill="1" applyBorder="1" applyAlignment="1" applyProtection="1">
      <alignment horizontal="center" vertical="center" wrapText="1"/>
      <protection/>
    </xf>
    <xf numFmtId="49" fontId="17" fillId="0" borderId="16" xfId="60" applyNumberFormat="1" applyFont="1" applyFill="1" applyBorder="1" applyAlignment="1" applyProtection="1">
      <alignment horizontal="center" vertical="center" wrapText="1"/>
      <protection/>
    </xf>
    <xf numFmtId="49" fontId="17" fillId="0" borderId="21" xfId="6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Font="1" applyBorder="1" applyAlignment="1" applyProtection="1">
      <alignment horizontal="center" vertical="center" wrapText="1"/>
      <protection/>
    </xf>
    <xf numFmtId="166" fontId="15" fillId="0" borderId="42" xfId="60" applyNumberFormat="1" applyFont="1" applyFill="1" applyBorder="1" applyAlignment="1" applyProtection="1">
      <alignment horizontal="right" vertical="center" wrapText="1" indent="1"/>
      <protection/>
    </xf>
    <xf numFmtId="0" fontId="15" fillId="0" borderId="42" xfId="6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0" applyFont="1" applyFill="1" applyBorder="1" applyAlignment="1" applyProtection="1">
      <alignment horizontal="left" vertical="center" wrapText="1" indent="1"/>
      <protection/>
    </xf>
    <xf numFmtId="0" fontId="17" fillId="0" borderId="11" xfId="60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6" fontId="17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27" xfId="0" applyFont="1" applyBorder="1" applyAlignment="1" applyProtection="1">
      <alignment vertical="center" wrapText="1"/>
      <protection/>
    </xf>
    <xf numFmtId="166" fontId="15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60" applyFont="1" applyFill="1" applyBorder="1" applyAlignment="1">
      <alignment horizontal="center" vertical="center"/>
      <protection/>
    </xf>
    <xf numFmtId="0" fontId="4" fillId="0" borderId="0" xfId="60" applyFont="1" applyFill="1">
      <alignment/>
      <protection/>
    </xf>
    <xf numFmtId="0" fontId="15" fillId="0" borderId="22" xfId="60" applyFont="1" applyFill="1" applyBorder="1" applyAlignment="1" applyProtection="1">
      <alignment horizontal="center" vertical="center"/>
      <protection/>
    </xf>
    <xf numFmtId="166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right"/>
      <protection/>
    </xf>
    <xf numFmtId="166" fontId="4" fillId="0" borderId="0" xfId="0" applyNumberFormat="1" applyFont="1" applyFill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horizontal="center" vertical="center"/>
      <protection/>
    </xf>
    <xf numFmtId="166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61" applyFont="1" applyFill="1" applyBorder="1" applyAlignment="1" applyProtection="1">
      <alignment horizontal="left" vertical="center" wrapText="1" indent="1"/>
      <protection/>
    </xf>
    <xf numFmtId="174" fontId="3" fillId="0" borderId="15" xfId="60" applyNumberFormat="1" applyFont="1" applyFill="1" applyBorder="1" applyAlignment="1">
      <alignment horizontal="center" vertical="center" wrapText="1"/>
      <protection/>
    </xf>
    <xf numFmtId="0" fontId="20" fillId="0" borderId="15" xfId="0" applyFont="1" applyBorder="1" applyAlignment="1" applyProtection="1">
      <alignment vertical="center" wrapText="1"/>
      <protection/>
    </xf>
    <xf numFmtId="0" fontId="15" fillId="0" borderId="27" xfId="60" applyFont="1" applyFill="1" applyBorder="1" applyAlignment="1" applyProtection="1">
      <alignment horizontal="left" vertical="center" wrapText="1" indent="1"/>
      <protection/>
    </xf>
    <xf numFmtId="0" fontId="15" fillId="0" borderId="28" xfId="60" applyFont="1" applyFill="1" applyBorder="1" applyAlignment="1" applyProtection="1">
      <alignment vertical="center" wrapText="1"/>
      <protection/>
    </xf>
    <xf numFmtId="166" fontId="15" fillId="0" borderId="44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33" xfId="60" applyFont="1" applyFill="1" applyBorder="1" applyAlignment="1" applyProtection="1">
      <alignment horizontal="left" vertical="center" wrapText="1" indent="7"/>
      <protection/>
    </xf>
    <xf numFmtId="166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60" applyFont="1" applyFill="1" applyBorder="1" applyAlignment="1" applyProtection="1">
      <alignment horizontal="left" vertical="center" wrapText="1"/>
      <protection/>
    </xf>
    <xf numFmtId="166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5" fillId="0" borderId="22" xfId="60" applyNumberFormat="1" applyFont="1" applyFill="1" applyBorder="1" applyAlignment="1" applyProtection="1">
      <alignment horizontal="center" vertical="center" wrapText="1"/>
      <protection/>
    </xf>
    <xf numFmtId="166" fontId="15" fillId="0" borderId="69" xfId="60" applyNumberFormat="1" applyFont="1" applyFill="1" applyBorder="1" applyAlignment="1" applyProtection="1">
      <alignment horizontal="right" vertical="center" wrapText="1" indent="1"/>
      <protection/>
    </xf>
    <xf numFmtId="166" fontId="17" fillId="0" borderId="62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70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63" xfId="60" applyNumberFormat="1" applyFont="1" applyFill="1" applyBorder="1" applyAlignment="1" applyProtection="1">
      <alignment horizontal="right" vertical="center" wrapText="1" indent="1"/>
      <protection/>
    </xf>
    <xf numFmtId="166" fontId="21" fillId="0" borderId="42" xfId="0" applyNumberFormat="1" applyFont="1" applyBorder="1" applyAlignment="1" applyProtection="1">
      <alignment horizontal="right" vertical="center" wrapText="1" indent="1"/>
      <protection/>
    </xf>
    <xf numFmtId="166" fontId="21" fillId="0" borderId="42" xfId="0" applyNumberFormat="1" applyFont="1" applyBorder="1" applyAlignment="1" applyProtection="1">
      <alignment horizontal="right" vertical="center" wrapText="1" indent="1"/>
      <protection locked="0"/>
    </xf>
    <xf numFmtId="166" fontId="19" fillId="0" borderId="42" xfId="0" applyNumberFormat="1" applyFont="1" applyBorder="1" applyAlignment="1" applyProtection="1" quotePrefix="1">
      <alignment horizontal="right" vertical="center" wrapText="1" indent="1"/>
      <protection/>
    </xf>
    <xf numFmtId="166" fontId="17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28" xfId="60" applyNumberFormat="1" applyFont="1" applyFill="1" applyBorder="1" applyAlignment="1" applyProtection="1">
      <alignment horizontal="right" vertical="center" wrapText="1" indent="1"/>
      <protection/>
    </xf>
    <xf numFmtId="166" fontId="21" fillId="0" borderId="23" xfId="0" applyNumberFormat="1" applyFont="1" applyBorder="1" applyAlignment="1" applyProtection="1">
      <alignment horizontal="right" vertical="center" wrapText="1" indent="1"/>
      <protection/>
    </xf>
    <xf numFmtId="166" fontId="21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9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60" applyFont="1" applyFill="1" applyBorder="1" applyAlignment="1" applyProtection="1">
      <alignment horizontal="center" vertical="center" wrapText="1"/>
      <protection/>
    </xf>
    <xf numFmtId="0" fontId="15" fillId="0" borderId="28" xfId="60" applyFont="1" applyFill="1" applyBorder="1" applyAlignment="1" applyProtection="1">
      <alignment vertical="center" wrapText="1"/>
      <protection/>
    </xf>
    <xf numFmtId="166" fontId="15" fillId="0" borderId="28" xfId="60" applyNumberFormat="1" applyFont="1" applyFill="1" applyBorder="1" applyAlignment="1" applyProtection="1">
      <alignment horizontal="right" vertical="center" wrapText="1" indent="1"/>
      <protection/>
    </xf>
    <xf numFmtId="166" fontId="15" fillId="0" borderId="63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64" xfId="60" applyFont="1" applyFill="1" applyBorder="1" applyAlignment="1" applyProtection="1">
      <alignment horizontal="right" vertical="center" wrapText="1" indent="1"/>
      <protection/>
    </xf>
    <xf numFmtId="166" fontId="17" fillId="0" borderId="64" xfId="6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0" applyFont="1" applyFill="1" applyBorder="1" applyProtection="1">
      <alignment/>
      <protection/>
    </xf>
    <xf numFmtId="166" fontId="15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6" fontId="19" fillId="0" borderId="42" xfId="0" applyNumberFormat="1" applyFont="1" applyBorder="1" applyAlignment="1" applyProtection="1" quotePrefix="1">
      <alignment horizontal="right" vertical="center" wrapText="1" indent="1"/>
      <protection locked="0"/>
    </xf>
    <xf numFmtId="0" fontId="20" fillId="0" borderId="15" xfId="0" applyFont="1" applyBorder="1" applyAlignment="1" applyProtection="1">
      <alignment horizontal="left" indent="1"/>
      <protection/>
    </xf>
    <xf numFmtId="0" fontId="15" fillId="0" borderId="23" xfId="60" applyFont="1" applyFill="1" applyBorder="1" applyAlignment="1" applyProtection="1">
      <alignment horizontal="center" vertical="center"/>
      <protection/>
    </xf>
    <xf numFmtId="0" fontId="15" fillId="0" borderId="26" xfId="60" applyFont="1" applyFill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/>
      <protection/>
    </xf>
    <xf numFmtId="166" fontId="15" fillId="0" borderId="44" xfId="0" applyNumberFormat="1" applyFont="1" applyFill="1" applyBorder="1" applyAlignment="1" applyProtection="1">
      <alignment horizontal="center" vertical="center" wrapText="1"/>
      <protection/>
    </xf>
    <xf numFmtId="166" fontId="15" fillId="0" borderId="44" xfId="0" applyNumberFormat="1" applyFont="1" applyFill="1" applyBorder="1" applyAlignment="1" applyProtection="1">
      <alignment horizontal="center" vertical="center" wrapText="1"/>
      <protection/>
    </xf>
    <xf numFmtId="168" fontId="29" fillId="0" borderId="12" xfId="40" applyNumberFormat="1" applyFont="1" applyFill="1" applyBorder="1" applyAlignment="1" applyProtection="1">
      <alignment/>
      <protection locked="0"/>
    </xf>
    <xf numFmtId="168" fontId="29" fillId="0" borderId="32" xfId="40" applyNumberFormat="1" applyFont="1" applyFill="1" applyBorder="1" applyAlignment="1">
      <alignment/>
    </xf>
    <xf numFmtId="168" fontId="29" fillId="0" borderId="11" xfId="40" applyNumberFormat="1" applyFont="1" applyFill="1" applyBorder="1" applyAlignment="1" applyProtection="1">
      <alignment/>
      <protection locked="0"/>
    </xf>
    <xf numFmtId="168" fontId="29" fillId="0" borderId="29" xfId="40" applyNumberFormat="1" applyFont="1" applyFill="1" applyBorder="1" applyAlignment="1">
      <alignment/>
    </xf>
    <xf numFmtId="168" fontId="29" fillId="0" borderId="15" xfId="40" applyNumberFormat="1" applyFont="1" applyFill="1" applyBorder="1" applyAlignment="1" applyProtection="1">
      <alignment/>
      <protection locked="0"/>
    </xf>
    <xf numFmtId="168" fontId="30" fillId="0" borderId="23" xfId="60" applyNumberFormat="1" applyFont="1" applyFill="1" applyBorder="1">
      <alignment/>
      <protection/>
    </xf>
    <xf numFmtId="168" fontId="30" fillId="0" borderId="26" xfId="60" applyNumberFormat="1" applyFont="1" applyFill="1" applyBorder="1">
      <alignment/>
      <protection/>
    </xf>
    <xf numFmtId="49" fontId="29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29" fillId="0" borderId="31" xfId="0" applyNumberFormat="1" applyFont="1" applyFill="1" applyBorder="1" applyAlignment="1" applyProtection="1">
      <alignment vertical="center" wrapText="1"/>
      <protection/>
    </xf>
    <xf numFmtId="166" fontId="29" fillId="0" borderId="22" xfId="0" applyNumberFormat="1" applyFont="1" applyFill="1" applyBorder="1" applyAlignment="1" applyProtection="1">
      <alignment vertical="center" wrapText="1"/>
      <protection/>
    </xf>
    <xf numFmtId="166" fontId="29" fillId="0" borderId="23" xfId="0" applyNumberFormat="1" applyFont="1" applyFill="1" applyBorder="1" applyAlignment="1" applyProtection="1">
      <alignment vertical="center" wrapText="1"/>
      <protection/>
    </xf>
    <xf numFmtId="166" fontId="29" fillId="0" borderId="26" xfId="0" applyNumberFormat="1" applyFont="1" applyFill="1" applyBorder="1" applyAlignment="1" applyProtection="1">
      <alignment vertical="center" wrapText="1"/>
      <protection/>
    </xf>
    <xf numFmtId="166" fontId="29" fillId="0" borderId="60" xfId="0" applyNumberFormat="1" applyFont="1" applyFill="1" applyBorder="1" applyAlignment="1" applyProtection="1">
      <alignment vertical="center" wrapText="1"/>
      <protection locked="0"/>
    </xf>
    <xf numFmtId="166" fontId="29" fillId="0" borderId="11" xfId="0" applyNumberFormat="1" applyFont="1" applyFill="1" applyBorder="1" applyAlignment="1" applyProtection="1">
      <alignment vertical="center" wrapText="1"/>
      <protection locked="0"/>
    </xf>
    <xf numFmtId="166" fontId="29" fillId="0" borderId="29" xfId="0" applyNumberFormat="1" applyFont="1" applyFill="1" applyBorder="1" applyAlignment="1" applyProtection="1">
      <alignment vertical="center" wrapText="1"/>
      <protection locked="0"/>
    </xf>
    <xf numFmtId="166" fontId="29" fillId="0" borderId="57" xfId="0" applyNumberFormat="1" applyFont="1" applyFill="1" applyBorder="1" applyAlignment="1" applyProtection="1">
      <alignment vertical="center" wrapText="1"/>
      <protection locked="0"/>
    </xf>
    <xf numFmtId="166" fontId="29" fillId="0" borderId="19" xfId="0" applyNumberFormat="1" applyFont="1" applyFill="1" applyBorder="1" applyAlignment="1" applyProtection="1">
      <alignment vertical="center" wrapText="1"/>
      <protection locked="0"/>
    </xf>
    <xf numFmtId="166" fontId="29" fillId="0" borderId="15" xfId="0" applyNumberFormat="1" applyFont="1" applyFill="1" applyBorder="1" applyAlignment="1" applyProtection="1">
      <alignment vertical="center" wrapText="1"/>
      <protection locked="0"/>
    </xf>
    <xf numFmtId="166" fontId="29" fillId="0" borderId="30" xfId="0" applyNumberFormat="1" applyFont="1" applyFill="1" applyBorder="1" applyAlignment="1" applyProtection="1">
      <alignment vertical="center" wrapText="1"/>
      <protection locked="0"/>
    </xf>
    <xf numFmtId="166" fontId="29" fillId="33" borderId="55" xfId="0" applyNumberFormat="1" applyFont="1" applyFill="1" applyBorder="1" applyAlignment="1" applyProtection="1">
      <alignment horizontal="left" vertical="center" wrapText="1" indent="2"/>
      <protection/>
    </xf>
    <xf numFmtId="166" fontId="31" fillId="0" borderId="10" xfId="61" applyNumberFormat="1" applyFont="1" applyFill="1" applyBorder="1" applyAlignment="1" applyProtection="1">
      <alignment vertical="center"/>
      <protection locked="0"/>
    </xf>
    <xf numFmtId="166" fontId="31" fillId="0" borderId="11" xfId="61" applyNumberFormat="1" applyFont="1" applyFill="1" applyBorder="1" applyAlignment="1" applyProtection="1">
      <alignment vertical="center"/>
      <protection locked="0"/>
    </xf>
    <xf numFmtId="166" fontId="31" fillId="0" borderId="12" xfId="61" applyNumberFormat="1" applyFont="1" applyFill="1" applyBorder="1" applyAlignment="1" applyProtection="1">
      <alignment vertical="center"/>
      <protection locked="0"/>
    </xf>
    <xf numFmtId="166" fontId="32" fillId="0" borderId="23" xfId="61" applyNumberFormat="1" applyFont="1" applyFill="1" applyBorder="1" applyAlignment="1" applyProtection="1">
      <alignment vertical="center"/>
      <protection/>
    </xf>
    <xf numFmtId="166" fontId="32" fillId="0" borderId="23" xfId="61" applyNumberFormat="1" applyFont="1" applyFill="1" applyBorder="1" applyProtection="1">
      <alignment/>
      <protection/>
    </xf>
    <xf numFmtId="3" fontId="29" fillId="0" borderId="43" xfId="0" applyNumberFormat="1" applyFont="1" applyBorder="1" applyAlignment="1" applyProtection="1">
      <alignment horizontal="right" vertical="center" indent="1"/>
      <protection locked="0"/>
    </xf>
    <xf numFmtId="3" fontId="29" fillId="0" borderId="29" xfId="0" applyNumberFormat="1" applyFont="1" applyBorder="1" applyAlignment="1" applyProtection="1">
      <alignment horizontal="right" vertical="center" indent="1"/>
      <protection locked="0"/>
    </xf>
    <xf numFmtId="3" fontId="29" fillId="0" borderId="29" xfId="0" applyNumberFormat="1" applyFont="1" applyFill="1" applyBorder="1" applyAlignment="1" applyProtection="1">
      <alignment horizontal="right" vertical="center" indent="1"/>
      <protection locked="0"/>
    </xf>
    <xf numFmtId="3" fontId="29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0" fillId="0" borderId="26" xfId="0" applyNumberFormat="1" applyFont="1" applyFill="1" applyBorder="1" applyAlignment="1" applyProtection="1">
      <alignment horizontal="right" vertical="center" indent="1"/>
      <protection/>
    </xf>
    <xf numFmtId="0" fontId="16" fillId="0" borderId="35" xfId="0" applyFont="1" applyFill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left" vertical="center" wrapText="1"/>
      <protection/>
    </xf>
    <xf numFmtId="166" fontId="17" fillId="0" borderId="30" xfId="6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0" applyFont="1" applyFill="1" applyAlignment="1" applyProtection="1">
      <alignment vertical="center"/>
      <protection/>
    </xf>
    <xf numFmtId="0" fontId="20" fillId="0" borderId="12" xfId="0" applyFont="1" applyBorder="1" applyAlignment="1">
      <alignment horizontal="left" wrapText="1" indent="1"/>
    </xf>
    <xf numFmtId="0" fontId="20" fillId="0" borderId="10" xfId="0" applyFont="1" applyBorder="1" applyAlignment="1">
      <alignment horizontal="left" vertical="center" wrapText="1" indent="1"/>
    </xf>
    <xf numFmtId="0" fontId="3" fillId="0" borderId="22" xfId="60" applyFont="1" applyFill="1" applyBorder="1" applyAlignment="1" applyProtection="1">
      <alignment horizontal="center" vertical="center" wrapText="1"/>
      <protection/>
    </xf>
    <xf numFmtId="0" fontId="3" fillId="0" borderId="23" xfId="60" applyFont="1" applyFill="1" applyBorder="1" applyAlignment="1" applyProtection="1">
      <alignment horizontal="center" vertical="center" wrapText="1"/>
      <protection/>
    </xf>
    <xf numFmtId="0" fontId="3" fillId="0" borderId="26" xfId="60" applyFont="1" applyFill="1" applyBorder="1" applyAlignment="1" applyProtection="1">
      <alignment horizontal="center" vertical="center" wrapText="1"/>
      <protection/>
    </xf>
    <xf numFmtId="0" fontId="7" fillId="0" borderId="24" xfId="60" applyFont="1" applyFill="1" applyBorder="1" applyAlignment="1" applyProtection="1">
      <alignment horizontal="center" vertical="center" wrapText="1"/>
      <protection/>
    </xf>
    <xf numFmtId="0" fontId="7" fillId="0" borderId="25" xfId="60" applyFont="1" applyFill="1" applyBorder="1" applyAlignment="1" applyProtection="1">
      <alignment horizontal="center" vertical="center" wrapText="1"/>
      <protection/>
    </xf>
    <xf numFmtId="0" fontId="7" fillId="0" borderId="35" xfId="60" applyFont="1" applyFill="1" applyBorder="1" applyAlignment="1" applyProtection="1">
      <alignment horizontal="center" vertical="center" wrapText="1"/>
      <protection/>
    </xf>
    <xf numFmtId="49" fontId="17" fillId="0" borderId="19" xfId="60" applyNumberFormat="1" applyFont="1" applyFill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left" wrapText="1" indent="1"/>
      <protection/>
    </xf>
    <xf numFmtId="49" fontId="17" fillId="0" borderId="22" xfId="60" applyNumberFormat="1" applyFont="1" applyFill="1" applyBorder="1" applyAlignment="1" applyProtection="1">
      <alignment horizontal="left" vertical="center" wrapText="1" indent="1"/>
      <protection/>
    </xf>
    <xf numFmtId="0" fontId="20" fillId="0" borderId="23" xfId="0" applyFont="1" applyBorder="1" applyAlignment="1" applyProtection="1">
      <alignment horizontal="left" vertical="center" wrapText="1" indent="1"/>
      <protection/>
    </xf>
    <xf numFmtId="166" fontId="17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3" xfId="0" applyFont="1" applyBorder="1" applyAlignment="1" applyProtection="1">
      <alignment horizontal="left" vertical="center" wrapText="1" indent="1"/>
      <protection/>
    </xf>
    <xf numFmtId="166" fontId="17" fillId="0" borderId="34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60" applyFont="1" applyFill="1" applyBorder="1" applyAlignment="1" applyProtection="1">
      <alignment horizontal="left" vertical="center" wrapText="1" indent="1"/>
      <protection/>
    </xf>
    <xf numFmtId="166" fontId="17" fillId="0" borderId="42" xfId="60" applyNumberFormat="1" applyFont="1" applyFill="1" applyBorder="1" applyAlignment="1" applyProtection="1">
      <alignment horizontal="right" vertical="center" wrapText="1" indent="1"/>
      <protection locked="0"/>
    </xf>
    <xf numFmtId="166" fontId="21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21" fillId="0" borderId="28" xfId="0" applyFont="1" applyBorder="1" applyAlignment="1" applyProtection="1">
      <alignment horizontal="left" vertical="center" wrapText="1" indent="1"/>
      <protection/>
    </xf>
    <xf numFmtId="0" fontId="17" fillId="0" borderId="0" xfId="60" applyFont="1" applyFill="1" applyProtection="1">
      <alignment/>
      <protection/>
    </xf>
    <xf numFmtId="0" fontId="16" fillId="0" borderId="41" xfId="0" applyFont="1" applyFill="1" applyBorder="1" applyAlignment="1" applyProtection="1">
      <alignment horizontal="right" vertical="center"/>
      <protection locked="0"/>
    </xf>
    <xf numFmtId="0" fontId="16" fillId="0" borderId="41" xfId="0" applyFont="1" applyFill="1" applyBorder="1" applyAlignment="1" applyProtection="1">
      <alignment horizontal="right"/>
      <protection/>
    </xf>
    <xf numFmtId="0" fontId="16" fillId="0" borderId="41" xfId="0" applyFont="1" applyFill="1" applyBorder="1" applyAlignment="1" applyProtection="1">
      <alignment horizontal="right" vertical="center"/>
      <protection/>
    </xf>
    <xf numFmtId="166" fontId="16" fillId="0" borderId="0" xfId="0" applyNumberFormat="1" applyFont="1" applyFill="1" applyAlignment="1" applyProtection="1">
      <alignment horizontal="right" vertical="center"/>
      <protection locked="0"/>
    </xf>
    <xf numFmtId="166" fontId="16" fillId="0" borderId="0" xfId="0" applyNumberFormat="1" applyFont="1" applyFill="1" applyAlignment="1" applyProtection="1">
      <alignment horizontal="right" vertical="center"/>
      <protection/>
    </xf>
    <xf numFmtId="0" fontId="90" fillId="0" borderId="0" xfId="0" applyFont="1" applyAlignment="1">
      <alignment/>
    </xf>
    <xf numFmtId="0" fontId="90" fillId="0" borderId="0" xfId="0" applyFont="1" applyAlignment="1">
      <alignment horizontal="justify" vertical="top" wrapText="1"/>
    </xf>
    <xf numFmtId="0" fontId="91" fillId="35" borderId="0" xfId="0" applyFont="1" applyFill="1" applyAlignment="1">
      <alignment horizontal="center" vertical="center"/>
    </xf>
    <xf numFmtId="0" fontId="91" fillId="35" borderId="0" xfId="0" applyFont="1" applyFill="1" applyAlignment="1">
      <alignment horizontal="center" vertical="top" wrapText="1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right" vertical="top"/>
      <protection locked="0"/>
    </xf>
    <xf numFmtId="16" fontId="33" fillId="0" borderId="0" xfId="0" applyNumberFormat="1" applyFont="1" applyAlignment="1">
      <alignment/>
    </xf>
    <xf numFmtId="14" fontId="33" fillId="0" borderId="0" xfId="0" applyNumberFormat="1" applyFont="1" applyAlignment="1">
      <alignment/>
    </xf>
    <xf numFmtId="166" fontId="2" fillId="0" borderId="0" xfId="0" applyNumberFormat="1" applyFont="1" applyFill="1" applyAlignment="1" applyProtection="1">
      <alignment horizontal="left" vertical="center" wrapText="1"/>
      <protection locked="0"/>
    </xf>
    <xf numFmtId="166" fontId="14" fillId="0" borderId="0" xfId="0" applyNumberFormat="1" applyFont="1" applyFill="1" applyAlignment="1" applyProtection="1">
      <alignment vertical="center" wrapText="1"/>
      <protection locked="0"/>
    </xf>
    <xf numFmtId="0" fontId="7" fillId="0" borderId="67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7" fillId="0" borderId="43" xfId="0" applyFont="1" applyFill="1" applyBorder="1" applyAlignment="1" applyProtection="1" quotePrefix="1">
      <alignment horizontal="right" vertical="center" indent="1"/>
      <protection locked="0"/>
    </xf>
    <xf numFmtId="0" fontId="7" fillId="0" borderId="68" xfId="0" applyFont="1" applyFill="1" applyBorder="1" applyAlignment="1" applyProtection="1">
      <alignment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49" fontId="7" fillId="0" borderId="63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right" vertical="center" wrapText="1" indent="1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 locked="0"/>
    </xf>
    <xf numFmtId="166" fontId="7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right" vertical="center" wrapText="1" indent="1"/>
      <protection locked="0"/>
    </xf>
    <xf numFmtId="166" fontId="92" fillId="0" borderId="0" xfId="0" applyNumberFormat="1" applyFont="1" applyFill="1" applyAlignment="1" applyProtection="1">
      <alignment horizontal="right" vertical="center" wrapText="1" indent="1"/>
      <protection/>
    </xf>
    <xf numFmtId="49" fontId="7" fillId="0" borderId="43" xfId="0" applyNumberFormat="1" applyFont="1" applyFill="1" applyBorder="1" applyAlignment="1" applyProtection="1">
      <alignment horizontal="right" vertical="center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 locked="0"/>
    </xf>
    <xf numFmtId="49" fontId="7" fillId="0" borderId="63" xfId="0" applyNumberFormat="1" applyFont="1" applyFill="1" applyBorder="1" applyAlignment="1" applyProtection="1">
      <alignment horizontal="right" vertical="center"/>
      <protection locked="0"/>
    </xf>
    <xf numFmtId="166" fontId="0" fillId="0" borderId="0" xfId="0" applyNumberFormat="1" applyFill="1" applyAlignment="1" applyProtection="1">
      <alignment vertical="center" wrapText="1"/>
      <protection locked="0"/>
    </xf>
    <xf numFmtId="166" fontId="92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2" fillId="0" borderId="0" xfId="60" applyFont="1" applyFill="1" applyProtection="1">
      <alignment/>
      <protection locked="0"/>
    </xf>
    <xf numFmtId="0" fontId="6" fillId="0" borderId="0" xfId="60" applyFont="1" applyFill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60" applyFont="1" applyFill="1" applyAlignment="1" applyProtection="1">
      <alignment horizontal="right" vertical="center" indent="1"/>
      <protection locked="0"/>
    </xf>
    <xf numFmtId="0" fontId="7" fillId="0" borderId="22" xfId="60" applyFont="1" applyFill="1" applyBorder="1" applyAlignment="1" applyProtection="1">
      <alignment horizontal="center" vertical="center" wrapText="1"/>
      <protection locked="0"/>
    </xf>
    <xf numFmtId="0" fontId="7" fillId="0" borderId="23" xfId="60" applyFont="1" applyFill="1" applyBorder="1" applyAlignment="1" applyProtection="1">
      <alignment horizontal="center" vertical="center" wrapText="1"/>
      <protection locked="0"/>
    </xf>
    <xf numFmtId="0" fontId="7" fillId="0" borderId="26" xfId="60" applyFont="1" applyFill="1" applyBorder="1" applyAlignment="1" applyProtection="1">
      <alignment horizontal="center" vertical="center" wrapText="1"/>
      <protection locked="0"/>
    </xf>
    <xf numFmtId="0" fontId="17" fillId="0" borderId="0" xfId="60" applyFont="1" applyFill="1" applyProtection="1">
      <alignment/>
      <protection locked="0"/>
    </xf>
    <xf numFmtId="166" fontId="93" fillId="0" borderId="0" xfId="60" applyNumberFormat="1" applyFont="1" applyFill="1" applyAlignment="1" applyProtection="1">
      <alignment horizontal="right" vertical="center" indent="1"/>
      <protection/>
    </xf>
    <xf numFmtId="166" fontId="0" fillId="0" borderId="0" xfId="0" applyNumberFormat="1" applyFill="1" applyAlignment="1" applyProtection="1">
      <alignment horizontal="center" vertical="center" wrapText="1"/>
      <protection locked="0"/>
    </xf>
    <xf numFmtId="166" fontId="5" fillId="0" borderId="0" xfId="0" applyNumberFormat="1" applyFont="1" applyFill="1" applyAlignment="1" applyProtection="1">
      <alignment horizontal="right" wrapText="1"/>
      <protection locked="0"/>
    </xf>
    <xf numFmtId="166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166" fontId="7" fillId="0" borderId="26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0" fillId="0" borderId="0" xfId="61" applyFont="1" applyFill="1" applyAlignment="1" applyProtection="1">
      <alignment/>
      <protection locked="0"/>
    </xf>
    <xf numFmtId="0" fontId="10" fillId="0" borderId="0" xfId="60" applyFont="1" applyFill="1" applyAlignment="1" applyProtection="1">
      <alignment vertical="center"/>
      <protection/>
    </xf>
    <xf numFmtId="0" fontId="80" fillId="0" borderId="0" xfId="45" applyAlignment="1" applyProtection="1">
      <alignment/>
      <protection/>
    </xf>
    <xf numFmtId="0" fontId="33" fillId="0" borderId="0" xfId="0" applyFont="1" applyAlignment="1">
      <alignment wrapText="1"/>
    </xf>
    <xf numFmtId="0" fontId="2" fillId="0" borderId="0" xfId="61" applyFill="1" applyAlignment="1" applyProtection="1">
      <alignment vertical="center" wrapText="1"/>
      <protection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 vertical="center"/>
    </xf>
    <xf numFmtId="166" fontId="94" fillId="0" borderId="0" xfId="60" applyNumberFormat="1" applyFont="1" applyFill="1">
      <alignment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166" fontId="94" fillId="0" borderId="0" xfId="60" applyNumberFormat="1" applyFont="1" applyFill="1" applyProtection="1">
      <alignment/>
      <protection/>
    </xf>
    <xf numFmtId="0" fontId="9" fillId="0" borderId="0" xfId="60" applyFont="1" applyFill="1" applyAlignment="1" applyProtection="1">
      <alignment horizontal="right"/>
      <protection locked="0"/>
    </xf>
    <xf numFmtId="166" fontId="16" fillId="0" borderId="41" xfId="60" applyNumberFormat="1" applyFont="1" applyFill="1" applyBorder="1" applyAlignment="1" applyProtection="1">
      <alignment horizontal="left" vertical="center"/>
      <protection locked="0"/>
    </xf>
    <xf numFmtId="0" fontId="1" fillId="0" borderId="0" xfId="60" applyFont="1" applyFill="1" applyProtection="1">
      <alignment/>
      <protection locked="0"/>
    </xf>
    <xf numFmtId="166" fontId="4" fillId="0" borderId="0" xfId="60" applyNumberFormat="1" applyFont="1" applyFill="1" applyBorder="1" applyAlignment="1" applyProtection="1">
      <alignment horizontal="centerContinuous" vertical="center"/>
      <protection locked="0"/>
    </xf>
    <xf numFmtId="0" fontId="16" fillId="0" borderId="0" xfId="0" applyFont="1" applyFill="1" applyBorder="1" applyAlignment="1" applyProtection="1">
      <alignment horizontal="right"/>
      <protection locked="0"/>
    </xf>
    <xf numFmtId="0" fontId="15" fillId="0" borderId="20" xfId="60" applyFont="1" applyFill="1" applyBorder="1" applyAlignment="1" applyProtection="1">
      <alignment horizontal="center" vertical="center" wrapText="1"/>
      <protection locked="0"/>
    </xf>
    <xf numFmtId="0" fontId="15" fillId="0" borderId="13" xfId="60" applyFont="1" applyFill="1" applyBorder="1" applyAlignment="1" applyProtection="1">
      <alignment horizontal="center" vertical="center" wrapText="1"/>
      <protection locked="0"/>
    </xf>
    <xf numFmtId="0" fontId="15" fillId="0" borderId="43" xfId="60" applyFont="1" applyFill="1" applyBorder="1" applyAlignment="1" applyProtection="1">
      <alignment horizontal="center" vertical="center" wrapText="1"/>
      <protection locked="0"/>
    </xf>
    <xf numFmtId="166" fontId="92" fillId="0" borderId="0" xfId="0" applyNumberFormat="1" applyFont="1" applyFill="1" applyAlignment="1" applyProtection="1">
      <alignment horizontal="right" vertical="center" wrapText="1" indent="1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5" fillId="0" borderId="41" xfId="0" applyFont="1" applyFill="1" applyBorder="1" applyAlignment="1" applyProtection="1">
      <alignment horizontal="right" vertical="center"/>
      <protection locked="0"/>
    </xf>
    <xf numFmtId="0" fontId="7" fillId="0" borderId="48" xfId="60" applyFont="1" applyFill="1" applyBorder="1" applyAlignment="1" applyProtection="1">
      <alignment horizontal="center" vertical="center" wrapText="1"/>
      <protection locked="0"/>
    </xf>
    <xf numFmtId="0" fontId="7" fillId="0" borderId="42" xfId="6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right"/>
      <protection/>
    </xf>
    <xf numFmtId="0" fontId="3" fillId="0" borderId="31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6" fillId="0" borderId="0" xfId="0" applyFont="1" applyFill="1" applyAlignment="1" applyProtection="1">
      <alignment/>
      <protection locked="0"/>
    </xf>
    <xf numFmtId="0" fontId="0" fillId="0" borderId="71" xfId="0" applyFill="1" applyBorder="1" applyAlignment="1" applyProtection="1">
      <alignment/>
      <protection locked="0"/>
    </xf>
    <xf numFmtId="0" fontId="0" fillId="0" borderId="72" xfId="0" applyFill="1" applyBorder="1" applyAlignment="1" applyProtection="1">
      <alignment/>
      <protection locked="0"/>
    </xf>
    <xf numFmtId="0" fontId="0" fillId="0" borderId="73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20" fillId="0" borderId="15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Alignment="1">
      <alignment/>
    </xf>
    <xf numFmtId="166" fontId="9" fillId="0" borderId="0" xfId="59" applyNumberFormat="1" applyFont="1" applyFill="1" applyAlignment="1" applyProtection="1">
      <alignment vertical="center" wrapText="1"/>
      <protection locked="0"/>
    </xf>
    <xf numFmtId="166" fontId="15" fillId="0" borderId="74" xfId="59" applyNumberFormat="1" applyFont="1" applyFill="1" applyBorder="1" applyAlignment="1">
      <alignment horizontal="center" vertical="center"/>
      <protection/>
    </xf>
    <xf numFmtId="166" fontId="15" fillId="0" borderId="31" xfId="59" applyNumberFormat="1" applyFont="1" applyFill="1" applyBorder="1" applyAlignment="1">
      <alignment horizontal="center" vertical="center"/>
      <protection/>
    </xf>
    <xf numFmtId="166" fontId="15" fillId="0" borderId="75" xfId="59" applyNumberFormat="1" applyFont="1" applyFill="1" applyBorder="1" applyAlignment="1">
      <alignment horizontal="center" vertical="center"/>
      <protection/>
    </xf>
    <xf numFmtId="166" fontId="15" fillId="0" borderId="31" xfId="59" applyNumberFormat="1" applyFont="1" applyFill="1" applyBorder="1" applyAlignment="1">
      <alignment horizontal="center" vertical="center" wrapText="1"/>
      <protection/>
    </xf>
    <xf numFmtId="166" fontId="15" fillId="0" borderId="75" xfId="59" applyNumberFormat="1" applyFont="1" applyFill="1" applyBorder="1" applyAlignment="1">
      <alignment horizontal="center" vertical="center" wrapText="1"/>
      <protection/>
    </xf>
    <xf numFmtId="49" fontId="14" fillId="0" borderId="67" xfId="59" applyNumberFormat="1" applyFont="1" applyFill="1" applyBorder="1" applyAlignment="1">
      <alignment horizontal="left" vertical="center"/>
      <protection/>
    </xf>
    <xf numFmtId="49" fontId="38" fillId="0" borderId="76" xfId="59" applyNumberFormat="1" applyFont="1" applyFill="1" applyBorder="1" applyAlignment="1" quotePrefix="1">
      <alignment horizontal="left" vertical="center"/>
      <protection/>
    </xf>
    <xf numFmtId="49" fontId="14" fillId="0" borderId="76" xfId="59" applyNumberFormat="1" applyFont="1" applyFill="1" applyBorder="1" applyAlignment="1">
      <alignment horizontal="left" vertical="center"/>
      <protection/>
    </xf>
    <xf numFmtId="49" fontId="7" fillId="0" borderId="49" xfId="59" applyNumberFormat="1" applyFont="1" applyFill="1" applyBorder="1" applyAlignment="1" applyProtection="1">
      <alignment horizontal="left" vertical="center"/>
      <protection locked="0"/>
    </xf>
    <xf numFmtId="49" fontId="14" fillId="0" borderId="18" xfId="59" applyNumberFormat="1" applyFont="1" applyFill="1" applyBorder="1" applyAlignment="1">
      <alignment horizontal="left" vertical="center"/>
      <protection/>
    </xf>
    <xf numFmtId="49" fontId="14" fillId="0" borderId="17" xfId="59" applyNumberFormat="1" applyFont="1" applyFill="1" applyBorder="1" applyAlignment="1">
      <alignment horizontal="left" vertical="center"/>
      <protection/>
    </xf>
    <xf numFmtId="49" fontId="14" fillId="0" borderId="19" xfId="59" applyNumberFormat="1" applyFont="1" applyFill="1" applyBorder="1" applyAlignment="1" applyProtection="1">
      <alignment horizontal="left" vertical="center"/>
      <protection locked="0"/>
    </xf>
    <xf numFmtId="175" fontId="7" fillId="0" borderId="31" xfId="59" applyNumberFormat="1" applyFont="1" applyFill="1" applyBorder="1" applyAlignment="1">
      <alignment horizontal="left" vertical="center" wrapText="1"/>
      <protection/>
    </xf>
    <xf numFmtId="166" fontId="0" fillId="0" borderId="0" xfId="59" applyNumberFormat="1" applyFill="1" applyAlignment="1">
      <alignment vertical="center" wrapText="1"/>
      <protection/>
    </xf>
    <xf numFmtId="166" fontId="5" fillId="0" borderId="41" xfId="59" applyNumberFormat="1" applyFont="1" applyFill="1" applyBorder="1" applyAlignment="1">
      <alignment horizontal="right" vertical="center"/>
      <protection/>
    </xf>
    <xf numFmtId="0" fontId="0" fillId="0" borderId="0" xfId="59" applyFill="1" applyAlignment="1">
      <alignment vertical="center"/>
      <protection/>
    </xf>
    <xf numFmtId="166" fontId="3" fillId="0" borderId="31" xfId="59" applyNumberFormat="1" applyFont="1" applyFill="1" applyBorder="1" applyAlignment="1">
      <alignment horizontal="center" vertical="center" wrapText="1"/>
      <protection/>
    </xf>
    <xf numFmtId="3" fontId="0" fillId="0" borderId="59" xfId="59" applyNumberFormat="1" applyFont="1" applyFill="1" applyBorder="1" applyAlignment="1" applyProtection="1">
      <alignment horizontal="right" vertical="center" wrapText="1"/>
      <protection locked="0"/>
    </xf>
    <xf numFmtId="3" fontId="0" fillId="0" borderId="57" xfId="59" applyNumberFormat="1" applyFont="1" applyFill="1" applyBorder="1" applyAlignment="1" applyProtection="1">
      <alignment horizontal="right" vertical="center" wrapText="1"/>
      <protection locked="0"/>
    </xf>
    <xf numFmtId="166" fontId="3" fillId="0" borderId="31" xfId="59" applyNumberFormat="1" applyFont="1" applyFill="1" applyBorder="1" applyAlignment="1">
      <alignment horizontal="right" vertical="center" wrapText="1"/>
      <protection/>
    </xf>
    <xf numFmtId="0" fontId="95" fillId="0" borderId="0" xfId="0" applyFont="1" applyAlignment="1">
      <alignment vertical="top" textRotation="180"/>
    </xf>
    <xf numFmtId="0" fontId="0" fillId="0" borderId="0" xfId="0" applyFill="1" applyAlignment="1" applyProtection="1">
      <alignment horizontal="right"/>
      <protection locked="0"/>
    </xf>
    <xf numFmtId="166" fontId="3" fillId="0" borderId="0" xfId="59" applyNumberFormat="1" applyFont="1" applyFill="1" applyBorder="1" applyAlignment="1">
      <alignment horizontal="left" vertical="center" wrapText="1"/>
      <protection/>
    </xf>
    <xf numFmtId="166" fontId="3" fillId="0" borderId="0" xfId="59" applyNumberFormat="1" applyFont="1" applyFill="1" applyBorder="1" applyAlignment="1">
      <alignment horizontal="right" vertical="center" wrapText="1"/>
      <protection/>
    </xf>
    <xf numFmtId="0" fontId="96" fillId="0" borderId="0" xfId="0" applyFont="1" applyAlignment="1">
      <alignment/>
    </xf>
    <xf numFmtId="166" fontId="14" fillId="0" borderId="71" xfId="59" applyNumberFormat="1" applyFont="1" applyFill="1" applyBorder="1" applyAlignment="1" applyProtection="1">
      <alignment horizontal="right" vertical="center" indent="2"/>
      <protection/>
    </xf>
    <xf numFmtId="166" fontId="14" fillId="0" borderId="71" xfId="59" applyNumberFormat="1" applyFont="1" applyFill="1" applyBorder="1" applyAlignment="1" applyProtection="1">
      <alignment horizontal="right" vertical="center" wrapText="1" indent="2"/>
      <protection locked="0"/>
    </xf>
    <xf numFmtId="166" fontId="14" fillId="0" borderId="77" xfId="59" applyNumberFormat="1" applyFont="1" applyFill="1" applyBorder="1" applyAlignment="1" applyProtection="1">
      <alignment horizontal="right" vertical="center" wrapText="1" indent="2"/>
      <protection locked="0"/>
    </xf>
    <xf numFmtId="166" fontId="38" fillId="0" borderId="60" xfId="59" applyNumberFormat="1" applyFont="1" applyFill="1" applyBorder="1" applyAlignment="1" applyProtection="1">
      <alignment horizontal="right" vertical="center" indent="2"/>
      <protection/>
    </xf>
    <xf numFmtId="166" fontId="38" fillId="0" borderId="60" xfId="59" applyNumberFormat="1" applyFont="1" applyFill="1" applyBorder="1" applyAlignment="1" applyProtection="1">
      <alignment horizontal="right" vertical="center" wrapText="1" indent="2"/>
      <protection locked="0"/>
    </xf>
    <xf numFmtId="166" fontId="14" fillId="0" borderId="60" xfId="59" applyNumberFormat="1" applyFont="1" applyFill="1" applyBorder="1" applyAlignment="1" applyProtection="1">
      <alignment horizontal="right" vertical="center" indent="2"/>
      <protection/>
    </xf>
    <xf numFmtId="166" fontId="14" fillId="0" borderId="60" xfId="59" applyNumberFormat="1" applyFont="1" applyFill="1" applyBorder="1" applyAlignment="1" applyProtection="1">
      <alignment horizontal="right" vertical="center" wrapText="1" indent="2"/>
      <protection locked="0"/>
    </xf>
    <xf numFmtId="166" fontId="7" fillId="0" borderId="31" xfId="59" applyNumberFormat="1" applyFont="1" applyFill="1" applyBorder="1" applyAlignment="1" applyProtection="1">
      <alignment horizontal="right" vertical="center" indent="2"/>
      <protection/>
    </xf>
    <xf numFmtId="166" fontId="7" fillId="0" borderId="31" xfId="59" applyNumberFormat="1" applyFont="1" applyFill="1" applyBorder="1" applyAlignment="1">
      <alignment horizontal="right" vertical="center" indent="2"/>
      <protection/>
    </xf>
    <xf numFmtId="166" fontId="7" fillId="0" borderId="31" xfId="59" applyNumberFormat="1" applyFont="1" applyFill="1" applyBorder="1" applyAlignment="1" applyProtection="1">
      <alignment horizontal="right" vertical="center" wrapText="1" indent="2"/>
      <protection/>
    </xf>
    <xf numFmtId="166" fontId="14" fillId="0" borderId="57" xfId="59" applyNumberFormat="1" applyFont="1" applyFill="1" applyBorder="1" applyAlignment="1" applyProtection="1">
      <alignment horizontal="right" vertical="center" indent="2"/>
      <protection/>
    </xf>
    <xf numFmtId="166" fontId="14" fillId="0" borderId="57" xfId="59" applyNumberFormat="1" applyFont="1" applyFill="1" applyBorder="1" applyAlignment="1" applyProtection="1">
      <alignment horizontal="right" vertical="center" wrapText="1" indent="2"/>
      <protection locked="0"/>
    </xf>
    <xf numFmtId="166" fontId="14" fillId="0" borderId="78" xfId="59" applyNumberFormat="1" applyFont="1" applyFill="1" applyBorder="1" applyAlignment="1" applyProtection="1">
      <alignment horizontal="right" vertical="center" wrapText="1" indent="2"/>
      <protection locked="0"/>
    </xf>
    <xf numFmtId="166" fontId="5" fillId="0" borderId="41" xfId="59" applyNumberFormat="1" applyFont="1" applyFill="1" applyBorder="1" applyAlignment="1" applyProtection="1">
      <alignment horizontal="right" vertical="center"/>
      <protection/>
    </xf>
    <xf numFmtId="0" fontId="17" fillId="0" borderId="33" xfId="60" applyFont="1" applyFill="1" applyBorder="1" applyAlignment="1" applyProtection="1">
      <alignment horizontal="left" vertical="center" wrapText="1" indent="1"/>
      <protection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79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11" xfId="0" applyFont="1" applyBorder="1" applyAlignment="1" applyProtection="1">
      <alignment horizontal="left" vertical="center" wrapText="1" indent="1"/>
      <protection locked="0"/>
    </xf>
    <xf numFmtId="166" fontId="17" fillId="0" borderId="20" xfId="0" applyNumberFormat="1" applyFont="1" applyBorder="1" applyAlignment="1" applyProtection="1">
      <alignment horizontal="left" vertical="center" wrapText="1" indent="1"/>
      <protection locked="0"/>
    </xf>
    <xf numFmtId="166" fontId="17" fillId="0" borderId="11" xfId="0" applyNumberFormat="1" applyFont="1" applyBorder="1" applyAlignment="1" applyProtection="1">
      <alignment vertical="center" wrapText="1"/>
      <protection locked="0"/>
    </xf>
    <xf numFmtId="49" fontId="17" fillId="0" borderId="11" xfId="0" applyNumberFormat="1" applyFont="1" applyBorder="1" applyAlignment="1" applyProtection="1">
      <alignment horizontal="center" vertical="center" wrapText="1"/>
      <protection locked="0"/>
    </xf>
    <xf numFmtId="166" fontId="17" fillId="0" borderId="17" xfId="0" applyNumberFormat="1" applyFont="1" applyBorder="1" applyAlignment="1" applyProtection="1">
      <alignment horizontal="left" vertical="center" wrapText="1" indent="1"/>
      <protection locked="0"/>
    </xf>
    <xf numFmtId="166" fontId="17" fillId="0" borderId="17" xfId="0" applyNumberFormat="1" applyFont="1" applyBorder="1" applyAlignment="1" applyProtection="1">
      <alignment horizontal="left" vertical="center" wrapText="1" indent="1"/>
      <protection locked="0"/>
    </xf>
    <xf numFmtId="166" fontId="14" fillId="0" borderId="17" xfId="0" applyNumberFormat="1" applyFont="1" applyBorder="1" applyAlignment="1" applyProtection="1">
      <alignment horizontal="left" vertical="center" wrapText="1" indent="1"/>
      <protection locked="0"/>
    </xf>
    <xf numFmtId="166" fontId="14" fillId="0" borderId="11" xfId="0" applyNumberFormat="1" applyFont="1" applyBorder="1" applyAlignment="1" applyProtection="1">
      <alignment vertical="center" wrapText="1"/>
      <protection locked="0"/>
    </xf>
    <xf numFmtId="49" fontId="14" fillId="0" borderId="11" xfId="0" applyNumberFormat="1" applyFont="1" applyBorder="1" applyAlignment="1" applyProtection="1">
      <alignment horizontal="center" vertical="center" wrapText="1"/>
      <protection locked="0"/>
    </xf>
    <xf numFmtId="166" fontId="14" fillId="0" borderId="20" xfId="0" applyNumberFormat="1" applyFont="1" applyBorder="1" applyAlignment="1" applyProtection="1">
      <alignment horizontal="left" vertical="center" wrapText="1" indent="1"/>
      <protection locked="0"/>
    </xf>
    <xf numFmtId="166" fontId="14" fillId="0" borderId="17" xfId="0" applyNumberFormat="1" applyFont="1" applyBorder="1" applyAlignment="1" applyProtection="1">
      <alignment horizontal="left" vertical="center" wrapText="1" indent="1"/>
      <protection locked="0"/>
    </xf>
    <xf numFmtId="166" fontId="17" fillId="0" borderId="52" xfId="0" applyNumberFormat="1" applyFont="1" applyFill="1" applyBorder="1" applyAlignment="1" applyProtection="1">
      <alignment vertical="center" wrapText="1"/>
      <protection/>
    </xf>
    <xf numFmtId="166" fontId="15" fillId="0" borderId="75" xfId="0" applyNumberFormat="1" applyFont="1" applyFill="1" applyBorder="1" applyAlignment="1" applyProtection="1">
      <alignment horizontal="left" vertical="center" wrapText="1" indent="1"/>
      <protection/>
    </xf>
    <xf numFmtId="49" fontId="29" fillId="0" borderId="28" xfId="0" applyNumberFormat="1" applyFont="1" applyFill="1" applyBorder="1" applyAlignment="1" applyProtection="1">
      <alignment horizontal="center" vertical="center" wrapText="1"/>
      <protection locked="0"/>
    </xf>
    <xf numFmtId="166" fontId="29" fillId="0" borderId="75" xfId="0" applyNumberFormat="1" applyFont="1" applyFill="1" applyBorder="1" applyAlignment="1" applyProtection="1">
      <alignment vertical="center" wrapText="1"/>
      <protection/>
    </xf>
    <xf numFmtId="166" fontId="29" fillId="0" borderId="27" xfId="0" applyNumberFormat="1" applyFont="1" applyFill="1" applyBorder="1" applyAlignment="1" applyProtection="1">
      <alignment vertical="center" wrapText="1"/>
      <protection/>
    </xf>
    <xf numFmtId="166" fontId="29" fillId="0" borderId="28" xfId="0" applyNumberFormat="1" applyFont="1" applyFill="1" applyBorder="1" applyAlignment="1" applyProtection="1">
      <alignment vertical="center" wrapText="1"/>
      <protection/>
    </xf>
    <xf numFmtId="166" fontId="29" fillId="0" borderId="44" xfId="0" applyNumberFormat="1" applyFont="1" applyFill="1" applyBorder="1" applyAlignment="1" applyProtection="1">
      <alignment vertical="center" wrapText="1"/>
      <protection/>
    </xf>
    <xf numFmtId="166" fontId="29" fillId="0" borderId="77" xfId="0" applyNumberFormat="1" applyFont="1" applyFill="1" applyBorder="1" applyAlignment="1" applyProtection="1">
      <alignment vertical="center" wrapText="1"/>
      <protection locked="0"/>
    </xf>
    <xf numFmtId="166" fontId="29" fillId="0" borderId="33" xfId="0" applyNumberFormat="1" applyFont="1" applyFill="1" applyBorder="1" applyAlignment="1" applyProtection="1">
      <alignment vertical="center" wrapText="1"/>
      <protection locked="0"/>
    </xf>
    <xf numFmtId="166" fontId="29" fillId="0" borderId="34" xfId="0" applyNumberFormat="1" applyFont="1" applyFill="1" applyBorder="1" applyAlignment="1" applyProtection="1">
      <alignment vertical="center" wrapText="1"/>
      <protection locked="0"/>
    </xf>
    <xf numFmtId="166" fontId="29" fillId="0" borderId="14" xfId="0" applyNumberFormat="1" applyFont="1" applyFill="1" applyBorder="1" applyAlignment="1" applyProtection="1">
      <alignment vertical="center" wrapText="1"/>
      <protection locked="0"/>
    </xf>
    <xf numFmtId="166" fontId="29" fillId="0" borderId="80" xfId="0" applyNumberFormat="1" applyFont="1" applyFill="1" applyBorder="1" applyAlignment="1" applyProtection="1">
      <alignment vertical="center" wrapText="1"/>
      <protection locked="0"/>
    </xf>
    <xf numFmtId="49" fontId="29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78" xfId="0" applyNumberFormat="1" applyFont="1" applyFill="1" applyBorder="1" applyAlignment="1" applyProtection="1">
      <alignment horizontal="center" vertical="center" wrapText="1"/>
      <protection locked="0"/>
    </xf>
    <xf numFmtId="166" fontId="29" fillId="0" borderId="78" xfId="0" applyNumberFormat="1" applyFont="1" applyFill="1" applyBorder="1" applyAlignment="1" applyProtection="1">
      <alignment vertical="center" wrapText="1"/>
      <protection locked="0"/>
    </xf>
    <xf numFmtId="166" fontId="29" fillId="0" borderId="49" xfId="0" applyNumberFormat="1" applyFont="1" applyFill="1" applyBorder="1" applyAlignment="1" applyProtection="1">
      <alignment vertical="center" wrapText="1"/>
      <protection/>
    </xf>
    <xf numFmtId="166" fontId="29" fillId="0" borderId="42" xfId="0" applyNumberFormat="1" applyFont="1" applyFill="1" applyBorder="1" applyAlignment="1" applyProtection="1">
      <alignment vertical="center" wrapText="1"/>
      <protection/>
    </xf>
    <xf numFmtId="166" fontId="29" fillId="0" borderId="24" xfId="0" applyNumberFormat="1" applyFont="1" applyFill="1" applyBorder="1" applyAlignment="1" applyProtection="1">
      <alignment vertical="center" wrapText="1"/>
      <protection/>
    </xf>
    <xf numFmtId="166" fontId="29" fillId="0" borderId="25" xfId="0" applyNumberFormat="1" applyFont="1" applyFill="1" applyBorder="1" applyAlignment="1" applyProtection="1">
      <alignment vertical="center" wrapText="1"/>
      <protection/>
    </xf>
    <xf numFmtId="166" fontId="29" fillId="0" borderId="40" xfId="0" applyNumberFormat="1" applyFont="1" applyFill="1" applyBorder="1" applyAlignment="1" applyProtection="1">
      <alignment vertical="center" wrapText="1"/>
      <protection locked="0"/>
    </xf>
    <xf numFmtId="166" fontId="29" fillId="0" borderId="12" xfId="0" applyNumberFormat="1" applyFont="1" applyFill="1" applyBorder="1" applyAlignment="1" applyProtection="1">
      <alignment vertical="center" wrapText="1"/>
      <protection locked="0"/>
    </xf>
    <xf numFmtId="166" fontId="29" fillId="0" borderId="35" xfId="0" applyNumberFormat="1" applyFont="1" applyFill="1" applyBorder="1" applyAlignment="1" applyProtection="1">
      <alignment vertical="center" wrapText="1"/>
      <protection/>
    </xf>
    <xf numFmtId="166" fontId="29" fillId="0" borderId="32" xfId="0" applyNumberFormat="1" applyFont="1" applyFill="1" applyBorder="1" applyAlignment="1" applyProtection="1">
      <alignment vertical="center" wrapText="1"/>
      <protection locked="0"/>
    </xf>
    <xf numFmtId="49" fontId="29" fillId="0" borderId="81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31" xfId="0" applyNumberFormat="1" applyFont="1" applyBorder="1" applyAlignment="1" applyProtection="1">
      <alignment horizontal="left" vertical="center" wrapText="1" indent="1"/>
      <protection locked="0"/>
    </xf>
    <xf numFmtId="166" fontId="17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62" xfId="0" applyNumberFormat="1" applyFont="1" applyFill="1" applyBorder="1" applyAlignment="1" applyProtection="1">
      <alignment horizontal="left" vertical="center" wrapText="1" indent="1"/>
      <protection locked="0"/>
    </xf>
    <xf numFmtId="166" fontId="17" fillId="0" borderId="70" xfId="0" applyNumberFormat="1" applyFont="1" applyFill="1" applyBorder="1" applyAlignment="1" applyProtection="1">
      <alignment horizontal="left" vertical="center" wrapText="1" indent="1"/>
      <protection locked="0"/>
    </xf>
    <xf numFmtId="166" fontId="15" fillId="0" borderId="77" xfId="0" applyNumberFormat="1" applyFont="1" applyFill="1" applyBorder="1" applyAlignment="1" applyProtection="1">
      <alignment horizontal="center" vertical="center" wrapText="1"/>
      <protection/>
    </xf>
    <xf numFmtId="166" fontId="15" fillId="0" borderId="60" xfId="0" applyNumberFormat="1" applyFont="1" applyFill="1" applyBorder="1" applyAlignment="1" applyProtection="1">
      <alignment horizontal="center" vertical="center" wrapText="1"/>
      <protection/>
    </xf>
    <xf numFmtId="166" fontId="15" fillId="0" borderId="75" xfId="0" applyNumberFormat="1" applyFont="1" applyFill="1" applyBorder="1" applyAlignment="1" applyProtection="1">
      <alignment horizontal="center" vertical="center" wrapText="1"/>
      <protection/>
    </xf>
    <xf numFmtId="0" fontId="97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/>
    </xf>
    <xf numFmtId="0" fontId="6" fillId="36" borderId="0" xfId="0" applyFont="1" applyFill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4" fillId="3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60" applyFont="1" applyFill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66" fontId="6" fillId="0" borderId="0" xfId="60" applyNumberFormat="1" applyFont="1" applyFill="1" applyBorder="1" applyAlignment="1" applyProtection="1">
      <alignment horizontal="center" vertical="center"/>
      <protection locked="0"/>
    </xf>
    <xf numFmtId="166" fontId="16" fillId="0" borderId="41" xfId="60" applyNumberFormat="1" applyFont="1" applyFill="1" applyBorder="1" applyAlignment="1" applyProtection="1">
      <alignment horizontal="left" vertical="center"/>
      <protection locked="0"/>
    </xf>
    <xf numFmtId="166" fontId="16" fillId="0" borderId="41" xfId="60" applyNumberFormat="1" applyFont="1" applyFill="1" applyBorder="1" applyAlignment="1" applyProtection="1">
      <alignment horizontal="left"/>
      <protection/>
    </xf>
    <xf numFmtId="0" fontId="15" fillId="0" borderId="0" xfId="60" applyFont="1" applyFill="1" applyAlignment="1" applyProtection="1">
      <alignment horizontal="center"/>
      <protection/>
    </xf>
    <xf numFmtId="166" fontId="16" fillId="0" borderId="41" xfId="60" applyNumberFormat="1" applyFont="1" applyFill="1" applyBorder="1" applyAlignment="1" applyProtection="1">
      <alignment horizontal="left" vertical="center"/>
      <protection/>
    </xf>
    <xf numFmtId="166" fontId="6" fillId="0" borderId="0" xfId="60" applyNumberFormat="1" applyFont="1" applyFill="1" applyBorder="1" applyAlignment="1" applyProtection="1">
      <alignment horizontal="center" vertical="center"/>
      <protection/>
    </xf>
    <xf numFmtId="166" fontId="7" fillId="0" borderId="71" xfId="0" applyNumberFormat="1" applyFont="1" applyFill="1" applyBorder="1" applyAlignment="1" applyProtection="1">
      <alignment horizontal="center" vertical="center" wrapText="1"/>
      <protection/>
    </xf>
    <xf numFmtId="166" fontId="7" fillId="0" borderId="75" xfId="0" applyNumberFormat="1" applyFont="1" applyFill="1" applyBorder="1" applyAlignment="1" applyProtection="1">
      <alignment horizontal="center" vertical="center" wrapText="1"/>
      <protection/>
    </xf>
    <xf numFmtId="166" fontId="9" fillId="0" borderId="0" xfId="0" applyNumberFormat="1" applyFont="1" applyFill="1" applyAlignment="1" applyProtection="1">
      <alignment horizontal="center" textRotation="180" wrapText="1"/>
      <protection/>
    </xf>
    <xf numFmtId="166" fontId="98" fillId="0" borderId="64" xfId="0" applyNumberFormat="1" applyFont="1" applyFill="1" applyBorder="1" applyAlignment="1" applyProtection="1">
      <alignment horizontal="left" vertical="top" wrapText="1"/>
      <protection/>
    </xf>
    <xf numFmtId="166" fontId="7" fillId="0" borderId="77" xfId="0" applyNumberFormat="1" applyFont="1" applyFill="1" applyBorder="1" applyAlignment="1" applyProtection="1">
      <alignment horizontal="center" vertical="center" wrapText="1"/>
      <protection/>
    </xf>
    <xf numFmtId="166" fontId="7" fillId="0" borderId="78" xfId="0" applyNumberFormat="1" applyFont="1" applyFill="1" applyBorder="1" applyAlignment="1" applyProtection="1">
      <alignment horizontal="center" vertical="center" wrapText="1"/>
      <protection/>
    </xf>
    <xf numFmtId="166" fontId="4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3" fillId="0" borderId="43" xfId="60" applyFont="1" applyFill="1" applyBorder="1" applyAlignment="1">
      <alignment horizontal="center" vertical="center" wrapText="1"/>
      <protection/>
    </xf>
    <xf numFmtId="0" fontId="3" fillId="0" borderId="30" xfId="60" applyFont="1" applyFill="1" applyBorder="1" applyAlignment="1">
      <alignment horizontal="center" vertical="center" wrapText="1"/>
      <protection/>
    </xf>
    <xf numFmtId="0" fontId="3" fillId="0" borderId="20" xfId="60" applyFont="1" applyFill="1" applyBorder="1" applyAlignment="1">
      <alignment horizontal="center" vertical="center" wrapText="1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 locked="0"/>
    </xf>
    <xf numFmtId="166" fontId="6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7" fillId="0" borderId="22" xfId="60" applyFont="1" applyFill="1" applyBorder="1" applyAlignment="1" applyProtection="1">
      <alignment horizontal="left"/>
      <protection/>
    </xf>
    <xf numFmtId="0" fontId="7" fillId="0" borderId="23" xfId="60" applyFont="1" applyFill="1" applyBorder="1" applyAlignment="1" applyProtection="1">
      <alignment horizontal="left"/>
      <protection/>
    </xf>
    <xf numFmtId="0" fontId="17" fillId="0" borderId="64" xfId="60" applyFont="1" applyFill="1" applyBorder="1" applyAlignment="1">
      <alignment horizontal="justify" vertical="center" wrapText="1"/>
      <protection/>
    </xf>
    <xf numFmtId="0" fontId="0" fillId="0" borderId="64" xfId="60" applyFont="1" applyBorder="1" applyAlignment="1">
      <alignment horizontal="left" vertical="top" wrapText="1"/>
      <protection/>
    </xf>
    <xf numFmtId="166" fontId="6" fillId="0" borderId="0" xfId="0" applyNumberFormat="1" applyFont="1" applyFill="1" applyAlignment="1" applyProtection="1">
      <alignment horizontal="center" vertical="center" wrapText="1"/>
      <protection locked="0"/>
    </xf>
    <xf numFmtId="166" fontId="9" fillId="0" borderId="0" xfId="0" applyNumberFormat="1" applyFont="1" applyFill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166" fontId="4" fillId="0" borderId="0" xfId="59" applyNumberFormat="1" applyFont="1" applyFill="1" applyAlignment="1" applyProtection="1">
      <alignment horizontal="left" vertical="center" wrapText="1"/>
      <protection locked="0"/>
    </xf>
    <xf numFmtId="166" fontId="0" fillId="0" borderId="0" xfId="59" applyNumberFormat="1" applyFill="1" applyAlignment="1" applyProtection="1">
      <alignment horizontal="left" vertical="center" wrapText="1"/>
      <protection locked="0"/>
    </xf>
    <xf numFmtId="166" fontId="3" fillId="0" borderId="82" xfId="59" applyNumberFormat="1" applyFont="1" applyFill="1" applyBorder="1" applyAlignment="1">
      <alignment horizontal="center" vertical="center"/>
      <protection/>
    </xf>
    <xf numFmtId="166" fontId="3" fillId="0" borderId="61" xfId="59" applyNumberFormat="1" applyFont="1" applyFill="1" applyBorder="1" applyAlignment="1">
      <alignment horizontal="center" vertical="center"/>
      <protection/>
    </xf>
    <xf numFmtId="166" fontId="3" fillId="0" borderId="74" xfId="59" applyNumberFormat="1" applyFont="1" applyFill="1" applyBorder="1" applyAlignment="1">
      <alignment horizontal="center" vertical="center"/>
      <protection/>
    </xf>
    <xf numFmtId="166" fontId="3" fillId="0" borderId="82" xfId="59" applyNumberFormat="1" applyFont="1" applyFill="1" applyBorder="1" applyAlignment="1">
      <alignment horizontal="center" vertical="center" wrapText="1"/>
      <protection/>
    </xf>
    <xf numFmtId="166" fontId="3" fillId="0" borderId="64" xfId="59" applyNumberFormat="1" applyFont="1" applyFill="1" applyBorder="1" applyAlignment="1">
      <alignment horizontal="center" vertical="center" wrapText="1"/>
      <protection/>
    </xf>
    <xf numFmtId="0" fontId="0" fillId="0" borderId="69" xfId="59" applyFont="1" applyBorder="1" applyAlignment="1">
      <alignment horizontal="center" vertical="center" wrapText="1"/>
      <protection/>
    </xf>
    <xf numFmtId="166" fontId="3" fillId="0" borderId="71" xfId="59" applyNumberFormat="1" applyFont="1" applyFill="1" applyBorder="1" applyAlignment="1">
      <alignment horizontal="center" vertical="center" wrapText="1"/>
      <protection/>
    </xf>
    <xf numFmtId="166" fontId="3" fillId="0" borderId="56" xfId="59" applyNumberFormat="1" applyFont="1" applyFill="1" applyBorder="1" applyAlignment="1">
      <alignment horizontal="center" vertical="center"/>
      <protection/>
    </xf>
    <xf numFmtId="0" fontId="99" fillId="0" borderId="75" xfId="0" applyFont="1" applyBorder="1" applyAlignment="1">
      <alignment horizontal="center" vertical="center"/>
    </xf>
    <xf numFmtId="166" fontId="3" fillId="0" borderId="49" xfId="59" applyNumberFormat="1" applyFont="1" applyFill="1" applyBorder="1" applyAlignment="1">
      <alignment horizontal="center" vertical="center" wrapText="1"/>
      <protection/>
    </xf>
    <xf numFmtId="0" fontId="0" fillId="0" borderId="50" xfId="59" applyFont="1" applyBorder="1" applyAlignment="1">
      <alignment horizontal="center" vertical="center" wrapText="1"/>
      <protection/>
    </xf>
    <xf numFmtId="0" fontId="0" fillId="0" borderId="42" xfId="59" applyFont="1" applyBorder="1" applyAlignment="1">
      <alignment horizontal="center" vertical="center" wrapText="1"/>
      <protection/>
    </xf>
    <xf numFmtId="0" fontId="99" fillId="0" borderId="75" xfId="0" applyFont="1" applyBorder="1" applyAlignment="1">
      <alignment horizontal="center" vertical="center" wrapText="1"/>
    </xf>
    <xf numFmtId="0" fontId="40" fillId="0" borderId="0" xfId="59" applyFont="1" applyFill="1" applyAlignment="1">
      <alignment horizontal="center" vertical="top" textRotation="180"/>
      <protection/>
    </xf>
    <xf numFmtId="0" fontId="6" fillId="0" borderId="0" xfId="59" applyFont="1" applyFill="1" applyAlignment="1" applyProtection="1">
      <alignment horizontal="center" vertical="center"/>
      <protection locked="0"/>
    </xf>
    <xf numFmtId="0" fontId="6" fillId="0" borderId="0" xfId="59" applyFont="1" applyAlignment="1">
      <alignment horizontal="center" vertical="center"/>
      <protection/>
    </xf>
    <xf numFmtId="175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166" fontId="3" fillId="0" borderId="49" xfId="59" applyNumberFormat="1" applyFont="1" applyFill="1" applyBorder="1" applyAlignment="1">
      <alignment horizontal="center" vertical="center" wrapText="1"/>
      <protection/>
    </xf>
    <xf numFmtId="166" fontId="3" fillId="0" borderId="50" xfId="59" applyNumberFormat="1" applyFont="1" applyFill="1" applyBorder="1" applyAlignment="1">
      <alignment horizontal="center" vertical="center" wrapText="1"/>
      <protection/>
    </xf>
    <xf numFmtId="166" fontId="0" fillId="0" borderId="67" xfId="59" applyNumberFormat="1" applyFont="1" applyFill="1" applyBorder="1" applyAlignment="1" applyProtection="1">
      <alignment horizontal="left" vertical="center" wrapText="1"/>
      <protection locked="0"/>
    </xf>
    <xf numFmtId="166" fontId="0" fillId="0" borderId="83" xfId="59" applyNumberFormat="1" applyFill="1" applyBorder="1" applyAlignment="1" applyProtection="1">
      <alignment horizontal="left" vertical="center" wrapText="1"/>
      <protection locked="0"/>
    </xf>
    <xf numFmtId="166" fontId="0" fillId="0" borderId="68" xfId="59" applyNumberFormat="1" applyFill="1" applyBorder="1" applyAlignment="1" applyProtection="1">
      <alignment horizontal="left" vertical="center" wrapText="1"/>
      <protection locked="0"/>
    </xf>
    <xf numFmtId="166" fontId="0" fillId="0" borderId="84" xfId="59" applyNumberFormat="1" applyFill="1" applyBorder="1" applyAlignment="1" applyProtection="1">
      <alignment horizontal="left" vertical="center" wrapText="1"/>
      <protection locked="0"/>
    </xf>
    <xf numFmtId="166" fontId="3" fillId="0" borderId="49" xfId="59" applyNumberFormat="1" applyFont="1" applyFill="1" applyBorder="1" applyAlignment="1">
      <alignment horizontal="left" vertical="center" wrapText="1"/>
      <protection/>
    </xf>
    <xf numFmtId="166" fontId="3" fillId="0" borderId="50" xfId="59" applyNumberFormat="1" applyFont="1" applyFill="1" applyBorder="1" applyAlignment="1">
      <alignment horizontal="left" vertical="center" wrapText="1"/>
      <protection/>
    </xf>
    <xf numFmtId="175" fontId="39" fillId="0" borderId="64" xfId="59" applyNumberFormat="1" applyFont="1" applyFill="1" applyBorder="1" applyAlignment="1" applyProtection="1">
      <alignment horizontal="left" vertical="center" wrapText="1"/>
      <protection locked="0"/>
    </xf>
    <xf numFmtId="0" fontId="6" fillId="0" borderId="0" xfId="59" applyFont="1" applyFill="1" applyAlignment="1">
      <alignment horizontal="center" vertic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/>
    </xf>
    <xf numFmtId="0" fontId="4" fillId="0" borderId="0" xfId="60" applyFont="1" applyFill="1" applyAlignment="1" applyProtection="1">
      <alignment horizontal="center"/>
      <protection locked="0"/>
    </xf>
    <xf numFmtId="0" fontId="4" fillId="0" borderId="0" xfId="60" applyFont="1" applyFill="1" applyAlignment="1" applyProtection="1">
      <alignment horizontal="center" vertical="center"/>
      <protection locked="0"/>
    </xf>
    <xf numFmtId="166" fontId="9" fillId="0" borderId="0" xfId="0" applyNumberFormat="1" applyFont="1" applyFill="1" applyBorder="1" applyAlignment="1" applyProtection="1">
      <alignment horizontal="right" textRotation="180" wrapText="1"/>
      <protection/>
    </xf>
    <xf numFmtId="166" fontId="7" fillId="0" borderId="49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42" xfId="0" applyNumberFormat="1" applyFont="1" applyFill="1" applyBorder="1" applyAlignment="1" applyProtection="1">
      <alignment horizontal="left" vertical="center" wrapText="1" indent="2"/>
      <protection/>
    </xf>
    <xf numFmtId="166" fontId="7" fillId="0" borderId="71" xfId="0" applyNumberFormat="1" applyFont="1" applyFill="1" applyBorder="1" applyAlignment="1" applyProtection="1">
      <alignment horizontal="center" vertical="center"/>
      <protection/>
    </xf>
    <xf numFmtId="166" fontId="7" fillId="0" borderId="75" xfId="0" applyNumberFormat="1" applyFont="1" applyFill="1" applyBorder="1" applyAlignment="1" applyProtection="1">
      <alignment horizontal="center" vertical="center"/>
      <protection/>
    </xf>
    <xf numFmtId="166" fontId="7" fillId="0" borderId="67" xfId="0" applyNumberFormat="1" applyFont="1" applyFill="1" applyBorder="1" applyAlignment="1" applyProtection="1">
      <alignment horizontal="center" vertical="center"/>
      <protection/>
    </xf>
    <xf numFmtId="166" fontId="7" fillId="0" borderId="83" xfId="0" applyNumberFormat="1" applyFont="1" applyFill="1" applyBorder="1" applyAlignment="1" applyProtection="1">
      <alignment horizontal="center" vertical="center"/>
      <protection/>
    </xf>
    <xf numFmtId="166" fontId="7" fillId="0" borderId="62" xfId="0" applyNumberFormat="1" applyFont="1" applyFill="1" applyBorder="1" applyAlignment="1" applyProtection="1">
      <alignment horizontal="center" vertical="center"/>
      <protection/>
    </xf>
    <xf numFmtId="166" fontId="7" fillId="0" borderId="71" xfId="0" applyNumberFormat="1" applyFont="1" applyFill="1" applyBorder="1" applyAlignment="1" applyProtection="1">
      <alignment horizontal="center" vertical="center" wrapText="1"/>
      <protection/>
    </xf>
    <xf numFmtId="166" fontId="7" fillId="0" borderId="75" xfId="0" applyNumberFormat="1" applyFont="1" applyFill="1" applyBorder="1" applyAlignment="1" applyProtection="1">
      <alignment horizontal="center" vertical="center" wrapText="1"/>
      <protection/>
    </xf>
    <xf numFmtId="0" fontId="17" fillId="0" borderId="64" xfId="0" applyFont="1" applyFill="1" applyBorder="1" applyAlignment="1">
      <alignment horizontal="justify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16" fillId="0" borderId="55" xfId="61" applyFont="1" applyFill="1" applyBorder="1" applyAlignment="1" applyProtection="1">
      <alignment horizontal="left" vertical="center" indent="1"/>
      <protection/>
    </xf>
    <xf numFmtId="0" fontId="16" fillId="0" borderId="50" xfId="61" applyFont="1" applyFill="1" applyBorder="1" applyAlignment="1" applyProtection="1">
      <alignment horizontal="left" vertical="center" indent="1"/>
      <protection/>
    </xf>
    <xf numFmtId="0" fontId="16" fillId="0" borderId="42" xfId="61" applyFont="1" applyFill="1" applyBorder="1" applyAlignment="1" applyProtection="1">
      <alignment horizontal="left" vertical="center" indent="1"/>
      <protection/>
    </xf>
    <xf numFmtId="0" fontId="6" fillId="0" borderId="0" xfId="61" applyFont="1" applyFill="1" applyAlignment="1" applyProtection="1">
      <alignment horizontal="center" wrapText="1"/>
      <protection/>
    </xf>
    <xf numFmtId="0" fontId="6" fillId="0" borderId="0" xfId="61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textRotation="180"/>
    </xf>
    <xf numFmtId="0" fontId="8" fillId="0" borderId="64" xfId="0" applyFont="1" applyBorder="1" applyAlignment="1">
      <alignment/>
    </xf>
    <xf numFmtId="0" fontId="16" fillId="0" borderId="0" xfId="0" applyFont="1" applyAlignment="1" applyProtection="1">
      <alignment horizontal="right"/>
      <protection/>
    </xf>
    <xf numFmtId="0" fontId="7" fillId="0" borderId="49" xfId="0" applyFont="1" applyBorder="1" applyAlignment="1" applyProtection="1">
      <alignment horizontal="left" vertical="center" indent="2"/>
      <protection/>
    </xf>
    <xf numFmtId="0" fontId="7" fillId="0" borderId="48" xfId="0" applyFont="1" applyBorder="1" applyAlignment="1" applyProtection="1">
      <alignment horizontal="left" vertical="center" indent="2"/>
      <protection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60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_KVRENMUNKA" xfId="60"/>
    <cellStyle name="Normál_SEGEDLETEK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  <cellStyle name="Százalék 2" xfId="69"/>
  </cellStyles>
  <dxfs count="8">
    <dxf>
      <font>
        <color indexed="9"/>
      </font>
    </dxf>
    <dxf>
      <font>
        <color indexed="10"/>
      </font>
    </dxf>
    <dxf>
      <font>
        <color rgb="FFFF0000"/>
      </font>
    </dxf>
    <dxf>
      <font>
        <color rgb="FFFFC000"/>
      </font>
    </dxf>
    <dxf>
      <font>
        <color rgb="FFFFC000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0</xdr:row>
      <xdr:rowOff>133350</xdr:rowOff>
    </xdr:from>
    <xdr:to>
      <xdr:col>25</xdr:col>
      <xdr:colOff>209550</xdr:colOff>
      <xdr:row>15</xdr:row>
      <xdr:rowOff>161925</xdr:rowOff>
    </xdr:to>
    <xdr:grpSp>
      <xdr:nvGrpSpPr>
        <xdr:cNvPr id="1" name="Csoportba foglalás 11"/>
        <xdr:cNvGrpSpPr>
          <a:grpSpLocks/>
        </xdr:cNvGrpSpPr>
      </xdr:nvGrpSpPr>
      <xdr:grpSpPr>
        <a:xfrm>
          <a:off x="10020300" y="133350"/>
          <a:ext cx="6305550" cy="2714625"/>
          <a:chOff x="7866063" y="158750"/>
          <a:chExt cx="4900613" cy="2651125"/>
        </a:xfrm>
        <a:solidFill>
          <a:srgbClr val="FFFFFF"/>
        </a:solidFill>
      </xdr:grpSpPr>
      <xdr:sp>
        <xdr:nvSpPr>
          <xdr:cNvPr id="2" name="Beszédbuborék: négyszög 2"/>
          <xdr:cNvSpPr>
            <a:spLocks/>
          </xdr:cNvSpPr>
        </xdr:nvSpPr>
        <xdr:spPr>
          <a:xfrm>
            <a:off x="7866063" y="158750"/>
            <a:ext cx="4900613" cy="2651125"/>
          </a:xfrm>
          <a:prstGeom prst="wedgeRectCallout">
            <a:avLst>
              <a:gd name="adj1" fmla="val -59893"/>
              <a:gd name="adj2" fmla="val 13217"/>
            </a:avLst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Teendő: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Ha nem a székhely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szerinti önkormányzatra készülnek a táblázatok, kattintson ide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,ha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 feljön az "Igen" és "Nem" akkor kattintson a "Nem"-re. Ezt csak a  közös hivatallal rendelkező önkormányzatok esetében kell megtenni, polgármesteri hivatalok esetében minditg az alaphelyzetet (Igen) kell meghagyni!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Magyarázat:
</a:t>
            </a:r>
            <a:r>
              <a:rPr lang="en-US" cap="none" sz="1100" b="0" i="0" u="none" baseline="0">
                <a:solidFill>
                  <a:srgbClr val="FFFFFF"/>
                </a:solidFill>
              </a:rPr>
              <a:t>Csak székhellyel rendelkező önkormányzatnál lehet közös hivatal, a többinél nem. ezért abban az esetben , ha másik önkormányzat táblázatait készítik az Igen-ről Nem-re történő váltásra azért van szükség, hogy a 9.1 (Önkormányzati táblázatok) melléklet számai után a költségvetési szervek melléklet számai 9.2.-vel folytatódjanak. A közös hivatal táblázatai továbbra is megmaradnak, de azokat ebben az esetben nem kell kinyomtatni. </a:t>
            </a:r>
          </a:p>
        </xdr:txBody>
      </xdr:sp>
      <xdr:pic>
        <xdr:nvPicPr>
          <xdr:cNvPr id="3" name="Kép 3"/>
          <xdr:cNvPicPr preferRelativeResize="1">
            <a:picLocks noChangeAspect="1"/>
          </xdr:cNvPicPr>
        </xdr:nvPicPr>
        <xdr:blipFill>
          <a:blip r:embed="rId1"/>
          <a:srcRect l="21466" t="43756" r="75947" b="52978"/>
          <a:stretch>
            <a:fillRect/>
          </a:stretch>
        </xdr:blipFill>
        <xdr:spPr>
          <a:xfrm>
            <a:off x="7953049" y="525268"/>
            <a:ext cx="1358695" cy="51166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Nyíl: balra mutató 4"/>
          <xdr:cNvSpPr>
            <a:spLocks/>
          </xdr:cNvSpPr>
        </xdr:nvSpPr>
        <xdr:spPr>
          <a:xfrm>
            <a:off x="9151249" y="659150"/>
            <a:ext cx="818402" cy="269089"/>
          </a:xfrm>
          <a:prstGeom prst="leftArrow">
            <a:avLst>
              <a:gd name="adj" fmla="val -33574"/>
            </a:avLst>
          </a:prstGeom>
          <a:solidFill>
            <a:srgbClr val="C0504D"/>
          </a:solidFill>
          <a:ln w="25400" cmpd="sng">
            <a:solidFill>
              <a:srgbClr val="8C383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 CE"/>
                <a:ea typeface="Times New Roman CE"/>
                <a:cs typeface="Times New Roman CE"/>
              </a:rPr>
              <a:t/>
            </a:r>
          </a:p>
        </xdr:txBody>
      </xdr:sp>
    </xdr:grpSp>
    <xdr:clientData/>
  </xdr:twoCellAnchor>
  <xdr:twoCellAnchor>
    <xdr:from>
      <xdr:col>16</xdr:col>
      <xdr:colOff>9525</xdr:colOff>
      <xdr:row>16</xdr:row>
      <xdr:rowOff>133350</xdr:rowOff>
    </xdr:from>
    <xdr:to>
      <xdr:col>25</xdr:col>
      <xdr:colOff>161925</xdr:colOff>
      <xdr:row>23</xdr:row>
      <xdr:rowOff>76200</xdr:rowOff>
    </xdr:to>
    <xdr:sp>
      <xdr:nvSpPr>
        <xdr:cNvPr id="5" name="Téglalap 5"/>
        <xdr:cNvSpPr>
          <a:spLocks/>
        </xdr:cNvSpPr>
      </xdr:nvSpPr>
      <xdr:spPr>
        <a:xfrm>
          <a:off x="9953625" y="3000375"/>
          <a:ext cx="6324600" cy="12096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 KV_1.1.sz.mell.</a:t>
          </a:r>
          <a:r>
            <a:rPr lang="en-US" cap="none" sz="1100" b="0" i="0" u="none" baseline="0">
              <a:solidFill>
                <a:srgbClr val="FFFFFF"/>
              </a:solidFill>
            </a:rPr>
            <a:t> fülnél a </a:t>
          </a:r>
          <a:r>
            <a:rPr lang="en-US" cap="none" sz="1100" b="1" i="1" u="none" baseline="0">
              <a:solidFill>
                <a:srgbClr val="FFFFFF"/>
              </a:solidFill>
            </a:rPr>
            <a:t>4. Közhatalmi bevételek </a:t>
          </a:r>
          <a:r>
            <a:rPr lang="en-US" cap="none" sz="1100" b="0" i="0" u="none" baseline="0">
              <a:solidFill>
                <a:srgbClr val="FFFFFF"/>
              </a:solidFill>
            </a:rPr>
            <a:t>bevételi jogcímei, abban az esetben ha az önkormányzatnál más bevételi jogcímek is előfordulnak, akkor bármelyik bevételi jogcím átírható arra, amit szerepeltetni szeretne az önkormányzat. 
</a:t>
          </a:r>
          <a:r>
            <a:rPr lang="en-US" cap="none" sz="1100" b="1" i="0" u="none" baseline="0">
              <a:solidFill>
                <a:srgbClr val="FFFFFF"/>
              </a:solidFill>
            </a:rPr>
            <a:t>Ezt csak a KV_1.1.sz.mell. fülnél kell elvégzeni, a többi táblázat automatikusan javítódik!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3"/>
  <sheetViews>
    <sheetView zoomScale="120" zoomScaleNormal="120" zoomScalePageLayoutView="0" workbookViewId="0" topLeftCell="A22">
      <selection activeCell="C38" sqref="C38"/>
    </sheetView>
  </sheetViews>
  <sheetFormatPr defaultColWidth="9.00390625" defaultRowHeight="12.75"/>
  <cols>
    <col min="1" max="1" width="35.375" style="0" customWidth="1"/>
    <col min="2" max="2" width="83.00390625" style="0" customWidth="1"/>
    <col min="3" max="3" width="34.50390625" style="0" customWidth="1"/>
  </cols>
  <sheetData>
    <row r="1" ht="12.75">
      <c r="A1" s="675">
        <v>2020</v>
      </c>
    </row>
    <row r="2" spans="1:3" ht="18.75" customHeight="1">
      <c r="A2" s="740" t="s">
        <v>570</v>
      </c>
      <c r="B2" s="740"/>
      <c r="C2" s="740"/>
    </row>
    <row r="3" spans="1:3" ht="15">
      <c r="A3" s="555"/>
      <c r="B3" s="556"/>
      <c r="C3" s="555"/>
    </row>
    <row r="4" spans="1:3" ht="14.25">
      <c r="A4" s="557" t="s">
        <v>593</v>
      </c>
      <c r="B4" s="558" t="s">
        <v>592</v>
      </c>
      <c r="C4" s="557" t="s">
        <v>571</v>
      </c>
    </row>
    <row r="5" spans="1:3" ht="12.75">
      <c r="A5" s="559"/>
      <c r="B5" s="559"/>
      <c r="C5" s="559"/>
    </row>
    <row r="6" spans="1:3" ht="18.75">
      <c r="A6" s="741" t="s">
        <v>573</v>
      </c>
      <c r="B6" s="741"/>
      <c r="C6" s="741"/>
    </row>
    <row r="7" spans="1:3" ht="12.75">
      <c r="A7" s="559" t="s">
        <v>594</v>
      </c>
      <c r="B7" s="559" t="s">
        <v>595</v>
      </c>
      <c r="C7" s="615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ht="12.75">
      <c r="A8" s="559" t="s">
        <v>596</v>
      </c>
      <c r="B8" s="559" t="s">
        <v>675</v>
      </c>
      <c r="C8" s="615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ht="12.75">
      <c r="A9" s="559" t="s">
        <v>597</v>
      </c>
      <c r="B9" s="559" t="s">
        <v>598</v>
      </c>
      <c r="C9" s="615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ht="12.75">
      <c r="A10" s="559" t="s">
        <v>599</v>
      </c>
      <c r="B10" s="559" t="s">
        <v>601</v>
      </c>
      <c r="C10" s="615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ht="12.75">
      <c r="A11" s="559" t="s">
        <v>600</v>
      </c>
      <c r="B11" s="559" t="s">
        <v>602</v>
      </c>
      <c r="C11" s="615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ht="12.75">
      <c r="A12" s="559" t="s">
        <v>603</v>
      </c>
      <c r="B12" s="559" t="s">
        <v>604</v>
      </c>
      <c r="C12" s="615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ht="12.75">
      <c r="A13" s="559" t="s">
        <v>605</v>
      </c>
      <c r="B13" s="559" t="s">
        <v>606</v>
      </c>
      <c r="C13" s="615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ht="12.75">
      <c r="A14" s="559" t="s">
        <v>607</v>
      </c>
      <c r="B14" s="559" t="s">
        <v>608</v>
      </c>
      <c r="C14" s="615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ht="12.75">
      <c r="A15" s="559" t="s">
        <v>609</v>
      </c>
      <c r="B15" s="559" t="s">
        <v>610</v>
      </c>
      <c r="C15" s="615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6" spans="1:3" ht="12.75">
      <c r="A16" s="559" t="s">
        <v>611</v>
      </c>
      <c r="B16" s="559" t="s">
        <v>676</v>
      </c>
      <c r="C16" s="615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ht="12.75">
      <c r="A17" s="559" t="s">
        <v>612</v>
      </c>
      <c r="B17" s="559" t="s">
        <v>613</v>
      </c>
      <c r="C17" s="615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ht="12.75">
      <c r="A18" s="559" t="s">
        <v>615</v>
      </c>
      <c r="B18" s="559" t="s">
        <v>614</v>
      </c>
      <c r="C18" s="615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ht="12.75">
      <c r="A19" s="559" t="s">
        <v>616</v>
      </c>
      <c r="B19" s="559" t="s">
        <v>617</v>
      </c>
      <c r="C19" s="615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ht="12.75">
      <c r="A20" s="559" t="s">
        <v>618</v>
      </c>
      <c r="B20" s="559" t="s">
        <v>619</v>
      </c>
      <c r="C20" s="615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ht="12.75">
      <c r="A21" s="559" t="s">
        <v>620</v>
      </c>
      <c r="B21" s="559" t="s">
        <v>621</v>
      </c>
      <c r="C21" s="615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ht="12.75">
      <c r="A22" s="564" t="s">
        <v>622</v>
      </c>
      <c r="B22" s="559" t="s">
        <v>623</v>
      </c>
      <c r="C22" s="615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ht="12.75">
      <c r="A23" s="565" t="s">
        <v>624</v>
      </c>
      <c r="B23" s="559" t="s">
        <v>625</v>
      </c>
      <c r="C23" s="615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ht="12.75">
      <c r="A24" s="559" t="s">
        <v>626</v>
      </c>
      <c r="B24" s="559" t="s">
        <v>627</v>
      </c>
      <c r="C24" s="615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ht="12.75">
      <c r="A25" s="559" t="s">
        <v>628</v>
      </c>
      <c r="B25" s="559" t="s">
        <v>629</v>
      </c>
      <c r="C25" s="615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ht="12.75">
      <c r="A26" s="559" t="s">
        <v>630</v>
      </c>
      <c r="B26" s="559" t="s">
        <v>631</v>
      </c>
      <c r="C26" s="61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559" t="s">
        <v>632</v>
      </c>
      <c r="B27" s="559" t="str">
        <f>CONCATENATE(ALAPADATOK!B13)</f>
        <v>BERTHA BULCSU MŰVELŐDÉSI HÁZ ÉS KÖNYVTÁR</v>
      </c>
      <c r="C27" s="615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8" spans="1:3" ht="12.75">
      <c r="A28" s="559" t="s">
        <v>633</v>
      </c>
      <c r="B28" s="559" t="str">
        <f>CONCATENATE(ALAPADATOK!B15)</f>
        <v>2 kvi név</v>
      </c>
      <c r="C28" s="61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559" t="s">
        <v>639</v>
      </c>
      <c r="B29" s="559" t="str">
        <f>CONCATENATE(ALAPADATOK!B17)</f>
        <v>3 kvi név  </v>
      </c>
      <c r="C29" s="61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559" t="s">
        <v>640</v>
      </c>
      <c r="B30" s="559" t="str">
        <f>CONCATENATE(ALAPADATOK!B19)</f>
        <v>4 kvi név</v>
      </c>
      <c r="C30" s="61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559" t="s">
        <v>641</v>
      </c>
      <c r="B31" s="559" t="str">
        <f>CONCATENATE(ALAPADATOK!B21)</f>
        <v>5 kvi név</v>
      </c>
      <c r="C31" s="61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559" t="s">
        <v>642</v>
      </c>
      <c r="B32" s="559" t="str">
        <f>CONCATENATE(ALAPADATOK!B23)</f>
        <v>6 kvi név</v>
      </c>
      <c r="C32" s="61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559" t="s">
        <v>643</v>
      </c>
      <c r="B33" s="559" t="str">
        <f>CONCATENATE(ALAPADATOK!B25)</f>
        <v>7 kvi név</v>
      </c>
      <c r="C33" s="61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559" t="s">
        <v>644</v>
      </c>
      <c r="B34" s="559" t="str">
        <f>CONCATENATE(ALAPADATOK!B27)</f>
        <v>8 kvi név</v>
      </c>
      <c r="C34" s="61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5" spans="1:3" ht="12.75">
      <c r="A35" s="559" t="s">
        <v>645</v>
      </c>
      <c r="B35" s="559" t="str">
        <f>CONCATENATE(ALAPADATOK!B29)</f>
        <v>9 kvi név</v>
      </c>
      <c r="C35" s="61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6" spans="1:3" ht="12.75">
      <c r="A36" s="559" t="s">
        <v>646</v>
      </c>
      <c r="B36" s="559" t="str">
        <f>CONCATENATE(ALAPADATOK!B31)</f>
        <v>10 kvi név</v>
      </c>
      <c r="C36" s="615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7" spans="1:3" ht="12.75">
      <c r="A37" s="559" t="s">
        <v>647</v>
      </c>
      <c r="B37" s="559" t="s">
        <v>655</v>
      </c>
      <c r="C37" s="615" t="str">
        <f ca="1">HYPERLINK(SUBSTITUTE(CELL("address",'KV_10.sz.mell'!A1),"'",""),SUBSTITUTE(MID(CELL("address",'KV_10.sz.mell'!A1),SEARCH("]",CELL("address",'KV_10.sz.mell'!A1),1)+1,LEN(CELL("address",'KV_10.sz.mell'!A1))-SEARCH("]",CELL("address",'KV_10.sz.mell'!A1),1)),"'",""))</f>
        <v>KV_10.sz.mell!$A$1</v>
      </c>
    </row>
    <row r="38" spans="1:3" ht="12.75">
      <c r="A38" s="559" t="s">
        <v>648</v>
      </c>
      <c r="B38" s="559" t="str">
        <f>'KV_1.sz.tájékoztató_t.'!A3</f>
        <v>Tájékoztató a 2018. évi tény, 2019. évi várható és 2020. évi terv adatokról</v>
      </c>
      <c r="C38" s="615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39" spans="1:3" ht="25.5">
      <c r="A39" s="559" t="s">
        <v>649</v>
      </c>
      <c r="B39" s="616" t="s">
        <v>4</v>
      </c>
      <c r="C39" s="615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40" spans="1:3" ht="12.75">
      <c r="A40" s="559" t="s">
        <v>650</v>
      </c>
      <c r="B40" s="559" t="s">
        <v>656</v>
      </c>
      <c r="C40" s="615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41" spans="1:3" ht="12.75">
      <c r="A41" s="559" t="s">
        <v>651</v>
      </c>
      <c r="B41" s="559" t="str">
        <f>'KV_4.sz.tájékoztató_t.'!A2</f>
        <v>Előirányzat-felhasználási terv
2020. évre</v>
      </c>
      <c r="C41" s="615" t="str">
        <f ca="1">HYPERLINK(SUBSTITUTE(CELL("address",'KV_4.sz.tájékoztató_t.'!A1),"'",""),SUBSTITUTE(MID(CELL("address",'KV_4.sz.tájékoztató_t.'!A1),SEARCH("]",CELL("address",'KV_4.sz.tájékoztató_t.'!A1),1)+1,LEN(CELL("address",'KV_4.sz.tájékoztató_t.'!A1))-SEARCH("]",CELL("address",'KV_4.sz.tájékoztató_t.'!A1),1)),"'",""))</f>
        <v>KV_4.sz.tájékoztató_t.!$A$1</v>
      </c>
    </row>
    <row r="42" spans="1:3" ht="12.75">
      <c r="A42" s="559" t="s">
        <v>652</v>
      </c>
      <c r="B42" s="559" t="str">
        <f>'KV_5.sz.tájékoztató_t'!B1</f>
        <v>A 2020. évi általános működés és ágazati feladatok támogatásának alakulása jogcímenként</v>
      </c>
      <c r="C42" s="615" t="str">
        <f ca="1">HYPERLINK(SUBSTITUTE(CELL("address",'KV_5.sz.tájékoztató_t'!A1),"'",""),SUBSTITUTE(MID(CELL("address",'KV_5.sz.tájékoztató_t'!A1),SEARCH("]",CELL("address",'KV_5.sz.tájékoztató_t'!A1),1)+1,LEN(CELL("address",'KV_5.sz.tájékoztató_t'!A1))-SEARCH("]",CELL("address",'KV_5.sz.tájékoztató_t'!A1),1)),"'",""))</f>
        <v>KV_5.sz.tájékoztató_t!$A$1</v>
      </c>
    </row>
    <row r="43" spans="1:3" ht="12.75">
      <c r="A43" s="559" t="s">
        <v>653</v>
      </c>
      <c r="B43" s="559" t="str">
        <f>'KV_6.sz.tájékoztató_t.'!A2</f>
        <v>K I M U T A T Á S
a 2020. évben céljelleggel juttatott támogatásokról</v>
      </c>
      <c r="C43" s="615" t="str">
        <f ca="1">HYPERLINK(SUBSTITUTE(CELL("address",'KV_6.sz.tájékoztató_t.'!A1),"'",""),SUBSTITUTE(MID(CELL("address",'KV_6.sz.tájékoztató_t.'!A1),SEARCH("]",CELL("address",'KV_6.sz.tájékoztató_t.'!A1),1)+1,LEN(CELL("address",'KV_6.sz.tájékoztató_t.'!A1))-SEARCH("]",CELL("address",'KV_6.sz.tájékoztató_t.'!A1),1)),"'",""))</f>
        <v>KV_6.sz.tájékoztató_t.!$A$1</v>
      </c>
    </row>
    <row r="44" spans="1:3" ht="12.75">
      <c r="A44" s="559" t="s">
        <v>654</v>
      </c>
      <c r="B44" s="559" t="str">
        <f>LOWER('KV_7.sz.tájékoztató_t.'!A3)</f>
        <v>2020. évi költségvetési évet követő 3 év tervezett</v>
      </c>
      <c r="C44" s="615" t="str">
        <f ca="1">HYPERLINK(SUBSTITUTE(CELL("address",'KV_7.sz.tájékoztató_t.'!A1),"'",""),SUBSTITUTE(MID(CELL("address",'KV_7.sz.tájékoztató_t.'!A1),SEARCH("]",CELL("address",'KV_7.sz.tájékoztató_t.'!A1),1)+1,LEN(CELL("address",'KV_7.sz.tájékoztató_t.'!A1))-SEARCH("]",CELL("address",'KV_7.sz.tájékoztató_t.'!A1),1)),"'",""))</f>
        <v>KV_7.sz.tájékoztató_t.!$A$1</v>
      </c>
    </row>
    <row r="45" spans="1:3" ht="12.75">
      <c r="A45" s="559"/>
      <c r="B45" s="559"/>
      <c r="C45" s="615"/>
    </row>
    <row r="46" spans="1:3" ht="18.75">
      <c r="A46" s="741"/>
      <c r="B46" s="741"/>
      <c r="C46" s="741"/>
    </row>
    <row r="47" spans="1:3" ht="12.75">
      <c r="A47" s="559"/>
      <c r="B47" s="559"/>
      <c r="C47" s="559"/>
    </row>
    <row r="48" spans="1:3" ht="12.75">
      <c r="A48" s="559"/>
      <c r="B48" s="559"/>
      <c r="C48" s="559"/>
    </row>
    <row r="49" spans="1:3" ht="12.75">
      <c r="A49" s="559"/>
      <c r="B49" s="559"/>
      <c r="C49" s="559"/>
    </row>
    <row r="50" spans="1:3" ht="12.75">
      <c r="A50" s="559"/>
      <c r="B50" s="559"/>
      <c r="C50" s="559"/>
    </row>
    <row r="51" spans="1:3" ht="12.75">
      <c r="A51" s="559"/>
      <c r="B51" s="559"/>
      <c r="C51" s="559"/>
    </row>
    <row r="52" spans="1:3" ht="12.75">
      <c r="A52" s="559"/>
      <c r="B52" s="559"/>
      <c r="C52" s="559"/>
    </row>
    <row r="53" spans="1:3" ht="12.75">
      <c r="A53" s="559"/>
      <c r="B53" s="559"/>
      <c r="C53" s="559"/>
    </row>
    <row r="54" spans="1:3" ht="12.75">
      <c r="A54" s="559"/>
      <c r="B54" s="559"/>
      <c r="C54" s="559"/>
    </row>
    <row r="55" spans="1:3" ht="12.75">
      <c r="A55" s="559"/>
      <c r="B55" s="559"/>
      <c r="C55" s="559"/>
    </row>
    <row r="56" spans="1:3" ht="12.75">
      <c r="A56" s="559"/>
      <c r="B56" s="559"/>
      <c r="C56" s="559"/>
    </row>
    <row r="57" spans="1:3" ht="12.75">
      <c r="A57" s="559"/>
      <c r="B57" s="559"/>
      <c r="C57" s="559"/>
    </row>
    <row r="58" spans="1:3" ht="12.75">
      <c r="A58" s="559"/>
      <c r="B58" s="559"/>
      <c r="C58" s="559"/>
    </row>
    <row r="59" spans="1:3" ht="12.75">
      <c r="A59" s="559"/>
      <c r="B59" s="559"/>
      <c r="C59" s="559"/>
    </row>
    <row r="60" spans="1:3" ht="12.75">
      <c r="A60" s="559"/>
      <c r="B60" s="559"/>
      <c r="C60" s="559"/>
    </row>
    <row r="61" spans="1:3" ht="33.75" customHeight="1">
      <c r="A61" s="742"/>
      <c r="B61" s="743"/>
      <c r="C61" s="743"/>
    </row>
    <row r="62" spans="1:3" ht="12.75">
      <c r="A62" s="559"/>
      <c r="B62" s="559"/>
      <c r="C62" s="559"/>
    </row>
    <row r="63" spans="1:3" ht="12.75">
      <c r="A63" s="559"/>
      <c r="B63" s="559"/>
      <c r="C63" s="559"/>
    </row>
    <row r="64" spans="1:3" ht="12.75">
      <c r="A64" s="559"/>
      <c r="B64" s="559"/>
      <c r="C64" s="559"/>
    </row>
    <row r="65" spans="1:3" ht="12.75">
      <c r="A65" s="559"/>
      <c r="B65" s="559"/>
      <c r="C65" s="559"/>
    </row>
    <row r="66" spans="1:3" ht="12.75">
      <c r="A66" s="559"/>
      <c r="B66" s="559"/>
      <c r="C66" s="559"/>
    </row>
    <row r="67" spans="1:3" ht="12.75">
      <c r="A67" s="559"/>
      <c r="B67" s="559"/>
      <c r="C67" s="559"/>
    </row>
    <row r="68" spans="1:3" ht="12.75">
      <c r="A68" s="559"/>
      <c r="B68" s="559"/>
      <c r="C68" s="559"/>
    </row>
    <row r="69" spans="1:3" ht="12.75">
      <c r="A69" s="559"/>
      <c r="B69" s="559"/>
      <c r="C69" s="559"/>
    </row>
    <row r="70" spans="1:3" ht="12.75">
      <c r="A70" s="559"/>
      <c r="B70" s="559"/>
      <c r="C70" s="559"/>
    </row>
    <row r="71" spans="1:3" ht="12.75">
      <c r="A71" s="559"/>
      <c r="B71" s="559"/>
      <c r="C71" s="559"/>
    </row>
    <row r="72" spans="1:3" ht="12.75">
      <c r="A72" s="559"/>
      <c r="B72" s="559"/>
      <c r="C72" s="559"/>
    </row>
    <row r="73" spans="1:3" ht="12.75">
      <c r="A73" s="559"/>
      <c r="B73" s="559"/>
      <c r="C73" s="559"/>
    </row>
    <row r="74" spans="1:3" ht="12.75">
      <c r="A74" s="559"/>
      <c r="B74" s="559"/>
      <c r="C74" s="559"/>
    </row>
    <row r="75" spans="1:3" ht="12.75">
      <c r="A75" s="559"/>
      <c r="B75" s="559"/>
      <c r="C75" s="559"/>
    </row>
    <row r="76" spans="1:3" ht="12.75">
      <c r="A76" s="559"/>
      <c r="B76" s="559"/>
      <c r="C76" s="559"/>
    </row>
    <row r="77" spans="1:3" ht="12.75">
      <c r="A77" s="559"/>
      <c r="B77" s="559"/>
      <c r="C77" s="559"/>
    </row>
    <row r="78" spans="1:3" ht="12.75">
      <c r="A78" s="559"/>
      <c r="B78" s="559"/>
      <c r="C78" s="559"/>
    </row>
    <row r="79" spans="1:3" ht="12.75">
      <c r="A79" s="559"/>
      <c r="B79" s="559"/>
      <c r="C79" s="559"/>
    </row>
    <row r="81" spans="1:3" ht="18.75">
      <c r="A81" s="741"/>
      <c r="B81" s="741"/>
      <c r="C81" s="741"/>
    </row>
    <row r="103" spans="1:3" ht="18.75">
      <c r="A103" s="741"/>
      <c r="B103" s="741"/>
      <c r="C103" s="741"/>
    </row>
  </sheetData>
  <sheetProtection sheet="1"/>
  <mergeCells count="6">
    <mergeCell ref="A2:C2"/>
    <mergeCell ref="A6:C6"/>
    <mergeCell ref="A46:C46"/>
    <mergeCell ref="A61:C61"/>
    <mergeCell ref="A81:C81"/>
    <mergeCell ref="A103:C10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="120" zoomScaleNormal="120" zoomScalePageLayoutView="0" workbookViewId="0" topLeftCell="A1">
      <selection activeCell="H21" sqref="H21"/>
    </sheetView>
  </sheetViews>
  <sheetFormatPr defaultColWidth="9.00390625" defaultRowHeight="12.75"/>
  <cols>
    <col min="1" max="1" width="46.375" style="0" customWidth="1"/>
    <col min="2" max="2" width="16.875" style="0" customWidth="1"/>
    <col min="3" max="3" width="66.125" style="0" customWidth="1"/>
    <col min="4" max="4" width="13.875" style="0" customWidth="1"/>
    <col min="5" max="5" width="17.625" style="0" customWidth="1"/>
  </cols>
  <sheetData>
    <row r="1" spans="1:5" ht="18.75">
      <c r="A1" s="121" t="s">
        <v>148</v>
      </c>
      <c r="E1" s="124" t="s">
        <v>152</v>
      </c>
    </row>
    <row r="3" spans="1:5" ht="12.75">
      <c r="A3" s="130"/>
      <c r="B3" s="131"/>
      <c r="C3" s="130"/>
      <c r="D3" s="133"/>
      <c r="E3" s="131"/>
    </row>
    <row r="4" spans="1:5" ht="15.75">
      <c r="A4" s="84" t="str">
        <f>+KV_ÖSSZEFÜGGÉSEK!A5</f>
        <v>2020. évi előirányzat BEVÉTELEK</v>
      </c>
      <c r="B4" s="132"/>
      <c r="C4" s="140"/>
      <c r="D4" s="133"/>
      <c r="E4" s="131"/>
    </row>
    <row r="5" spans="1:5" ht="12.75">
      <c r="A5" s="130"/>
      <c r="B5" s="131"/>
      <c r="C5" s="130"/>
      <c r="D5" s="133"/>
      <c r="E5" s="131"/>
    </row>
    <row r="6" spans="1:5" ht="12.75">
      <c r="A6" s="130" t="s">
        <v>533</v>
      </c>
      <c r="B6" s="131">
        <f>+'KV_1.1.sz.mell.'!C67</f>
        <v>537433635</v>
      </c>
      <c r="C6" s="130" t="s">
        <v>479</v>
      </c>
      <c r="D6" s="133">
        <f>+'KV_2.1.sz.mell.'!C18+'KV_2.2.sz.mell.'!C17</f>
        <v>537433635</v>
      </c>
      <c r="E6" s="131">
        <f aca="true" t="shared" si="0" ref="E6:E15">+B6-D6</f>
        <v>0</v>
      </c>
    </row>
    <row r="7" spans="1:5" ht="12.75">
      <c r="A7" s="130" t="s">
        <v>534</v>
      </c>
      <c r="B7" s="131">
        <f>+'KV_1.1.sz.mell.'!C91</f>
        <v>272412365</v>
      </c>
      <c r="C7" s="130" t="s">
        <v>480</v>
      </c>
      <c r="D7" s="133">
        <f>+'KV_2.1.sz.mell.'!C29+'KV_2.2.sz.mell.'!C30</f>
        <v>272412365</v>
      </c>
      <c r="E7" s="131">
        <f t="shared" si="0"/>
        <v>0</v>
      </c>
    </row>
    <row r="8" spans="1:5" ht="12.75">
      <c r="A8" s="130" t="s">
        <v>535</v>
      </c>
      <c r="B8" s="131">
        <f>+'KV_1.1.sz.mell.'!C92</f>
        <v>809846000</v>
      </c>
      <c r="C8" s="130" t="s">
        <v>481</v>
      </c>
      <c r="D8" s="133">
        <f>+'KV_2.1.sz.mell.'!C30+'KV_2.2.sz.mell.'!C31</f>
        <v>809846000</v>
      </c>
      <c r="E8" s="131">
        <f t="shared" si="0"/>
        <v>0</v>
      </c>
    </row>
    <row r="9" spans="1:5" ht="12.75">
      <c r="A9" s="130"/>
      <c r="B9" s="131"/>
      <c r="C9" s="130"/>
      <c r="D9" s="133"/>
      <c r="E9" s="131"/>
    </row>
    <row r="10" spans="1:5" ht="12.75">
      <c r="A10" s="130"/>
      <c r="B10" s="131"/>
      <c r="C10" s="130"/>
      <c r="D10" s="133"/>
      <c r="E10" s="131"/>
    </row>
    <row r="11" spans="1:5" ht="15.75">
      <c r="A11" s="84" t="str">
        <f>+KV_ÖSSZEFÜGGÉSEK!A12</f>
        <v>2020. évi előirányzat KIADÁSOK</v>
      </c>
      <c r="B11" s="132"/>
      <c r="C11" s="140"/>
      <c r="D11" s="133"/>
      <c r="E11" s="131"/>
    </row>
    <row r="12" spans="1:5" ht="12.75">
      <c r="A12" s="130"/>
      <c r="B12" s="131"/>
      <c r="C12" s="130"/>
      <c r="D12" s="133"/>
      <c r="E12" s="131"/>
    </row>
    <row r="13" spans="1:5" ht="12.75">
      <c r="A13" s="130" t="s">
        <v>536</v>
      </c>
      <c r="B13" s="131">
        <f>+'KV_1.1.sz.mell.'!C133</f>
        <v>806820973</v>
      </c>
      <c r="C13" s="130" t="s">
        <v>482</v>
      </c>
      <c r="D13" s="133">
        <f>+'KV_2.1.sz.mell.'!E18+'KV_2.2.sz.mell.'!E17</f>
        <v>806820973</v>
      </c>
      <c r="E13" s="131">
        <f t="shared" si="0"/>
        <v>0</v>
      </c>
    </row>
    <row r="14" spans="1:5" ht="12.75">
      <c r="A14" s="130" t="s">
        <v>537</v>
      </c>
      <c r="B14" s="131">
        <f>+'KV_1.1.sz.mell.'!C158</f>
        <v>3025027</v>
      </c>
      <c r="C14" s="130" t="s">
        <v>483</v>
      </c>
      <c r="D14" s="133">
        <f>+'KV_2.1.sz.mell.'!E29+'KV_2.2.sz.mell.'!E30</f>
        <v>3025027</v>
      </c>
      <c r="E14" s="131">
        <f t="shared" si="0"/>
        <v>0</v>
      </c>
    </row>
    <row r="15" spans="1:5" ht="12.75">
      <c r="A15" s="130" t="s">
        <v>538</v>
      </c>
      <c r="B15" s="131">
        <f>+'KV_1.1.sz.mell.'!C159</f>
        <v>809846000</v>
      </c>
      <c r="C15" s="130" t="s">
        <v>484</v>
      </c>
      <c r="D15" s="133">
        <f>+'KV_2.1.sz.mell.'!E30+'KV_2.2.sz.mell.'!E31</f>
        <v>809846000</v>
      </c>
      <c r="E15" s="131">
        <f t="shared" si="0"/>
        <v>0</v>
      </c>
    </row>
    <row r="16" spans="1:5" ht="12.75">
      <c r="A16" s="122"/>
      <c r="B16" s="122"/>
      <c r="C16" s="130"/>
      <c r="D16" s="133"/>
      <c r="E16" s="123"/>
    </row>
    <row r="17" spans="1:5" ht="12.75">
      <c r="A17" s="122"/>
      <c r="B17" s="122"/>
      <c r="C17" s="122"/>
      <c r="D17" s="122"/>
      <c r="E17" s="122"/>
    </row>
    <row r="18" spans="1:5" ht="12.75">
      <c r="A18" s="122"/>
      <c r="B18" s="122"/>
      <c r="C18" s="122"/>
      <c r="D18" s="122"/>
      <c r="E18" s="122"/>
    </row>
    <row r="19" spans="1:5" ht="12.75">
      <c r="A19" s="122"/>
      <c r="B19" s="122"/>
      <c r="C19" s="122"/>
      <c r="D19" s="122"/>
      <c r="E19" s="122"/>
    </row>
  </sheetData>
  <sheetProtection sheet="1"/>
  <conditionalFormatting sqref="E3:E15">
    <cfRule type="cellIs" priority="1" dxfId="6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5.625" style="143" customWidth="1"/>
    <col min="2" max="2" width="35.625" style="143" customWidth="1"/>
    <col min="3" max="6" width="14.00390625" style="143" customWidth="1"/>
    <col min="7" max="16384" width="9.375" style="143" customWidth="1"/>
  </cols>
  <sheetData>
    <row r="1" spans="1:6" ht="15">
      <c r="A1" s="627"/>
      <c r="B1" s="627"/>
      <c r="C1" s="627"/>
      <c r="D1" s="627"/>
      <c r="E1" s="627"/>
      <c r="F1" s="627"/>
    </row>
    <row r="2" spans="1:6" ht="15">
      <c r="A2" s="627"/>
      <c r="B2" s="750" t="str">
        <f>CONCATENATE("3. melléklet ",ALAPADATOK!A7," ",ALAPADATOK!B7," ",ALAPADATOK!C7," ",ALAPADATOK!D7," ",ALAPADATOK!E7," ",ALAPADATOK!F7," ",ALAPADATOK!G7," ",ALAPADATOK!H7)</f>
        <v>3. melléklet a 2 / 2020 ( II. 21. ) önkormányzati rendelethez</v>
      </c>
      <c r="C2" s="750"/>
      <c r="D2" s="750"/>
      <c r="E2" s="750"/>
      <c r="F2" s="750"/>
    </row>
    <row r="3" spans="1:6" ht="15">
      <c r="A3" s="627"/>
      <c r="B3" s="627"/>
      <c r="C3" s="627"/>
      <c r="D3" s="627"/>
      <c r="E3" s="627"/>
      <c r="F3" s="627"/>
    </row>
    <row r="4" spans="1:6" ht="33" customHeight="1">
      <c r="A4" s="764" t="str">
        <f>CONCATENATE(PROPER(ALAPADATOK!A3)," adósságot keletkeztető ügyletekből és kezességvállalásokból fennálló kötelezettségei")</f>
        <v>Balatongyörök Község Önkormányzata adósságot keletkeztető ügyletekből és kezességvállalásokból fennálló kötelezettségei</v>
      </c>
      <c r="B4" s="764"/>
      <c r="C4" s="764"/>
      <c r="D4" s="764"/>
      <c r="E4" s="764"/>
      <c r="F4" s="764"/>
    </row>
    <row r="5" spans="1:7" ht="15.75" customHeight="1" thickBot="1">
      <c r="A5" s="628"/>
      <c r="B5" s="628"/>
      <c r="C5" s="765"/>
      <c r="D5" s="765"/>
      <c r="E5" s="772" t="str">
        <f>'KV_2.2.sz.mell.'!E2</f>
        <v>Forintban!</v>
      </c>
      <c r="F5" s="772"/>
      <c r="G5" s="149"/>
    </row>
    <row r="6" spans="1:6" ht="63" customHeight="1">
      <c r="A6" s="768" t="s">
        <v>16</v>
      </c>
      <c r="B6" s="770" t="s">
        <v>193</v>
      </c>
      <c r="C6" s="770" t="s">
        <v>246</v>
      </c>
      <c r="D6" s="770"/>
      <c r="E6" s="770"/>
      <c r="F6" s="766" t="s">
        <v>494</v>
      </c>
    </row>
    <row r="7" spans="1:6" ht="15.75" thickBot="1">
      <c r="A7" s="769"/>
      <c r="B7" s="771"/>
      <c r="C7" s="456">
        <f>+LEFT(KV_ÖSSZEFÜGGÉSEK!A5,4)+1</f>
        <v>2021</v>
      </c>
      <c r="D7" s="456">
        <f>+C7+1</f>
        <v>2022</v>
      </c>
      <c r="E7" s="456">
        <f>+D7+1</f>
        <v>2023</v>
      </c>
      <c r="F7" s="767"/>
    </row>
    <row r="8" spans="1:6" ht="15.75" thickBot="1">
      <c r="A8" s="146"/>
      <c r="B8" s="147" t="s">
        <v>485</v>
      </c>
      <c r="C8" s="147" t="s">
        <v>486</v>
      </c>
      <c r="D8" s="147" t="s">
        <v>487</v>
      </c>
      <c r="E8" s="147" t="s">
        <v>489</v>
      </c>
      <c r="F8" s="148" t="s">
        <v>488</v>
      </c>
    </row>
    <row r="9" spans="1:6" ht="15">
      <c r="A9" s="145" t="s">
        <v>18</v>
      </c>
      <c r="B9" s="162"/>
      <c r="C9" s="496"/>
      <c r="D9" s="496"/>
      <c r="E9" s="496"/>
      <c r="F9" s="497">
        <f>SUM(C9:E9)</f>
        <v>0</v>
      </c>
    </row>
    <row r="10" spans="1:6" ht="15">
      <c r="A10" s="144" t="s">
        <v>19</v>
      </c>
      <c r="B10" s="163"/>
      <c r="C10" s="498"/>
      <c r="D10" s="498"/>
      <c r="E10" s="498"/>
      <c r="F10" s="499">
        <f>SUM(C10:E10)</f>
        <v>0</v>
      </c>
    </row>
    <row r="11" spans="1:6" ht="15">
      <c r="A11" s="144" t="s">
        <v>20</v>
      </c>
      <c r="B11" s="163"/>
      <c r="C11" s="498"/>
      <c r="D11" s="498"/>
      <c r="E11" s="498"/>
      <c r="F11" s="499">
        <f>SUM(C11:E11)</f>
        <v>0</v>
      </c>
    </row>
    <row r="12" spans="1:6" ht="15">
      <c r="A12" s="144" t="s">
        <v>21</v>
      </c>
      <c r="B12" s="163"/>
      <c r="C12" s="498"/>
      <c r="D12" s="498"/>
      <c r="E12" s="498"/>
      <c r="F12" s="499">
        <f>SUM(C12:E12)</f>
        <v>0</v>
      </c>
    </row>
    <row r="13" spans="1:6" ht="15.75" thickBot="1">
      <c r="A13" s="150" t="s">
        <v>22</v>
      </c>
      <c r="B13" s="164"/>
      <c r="C13" s="500"/>
      <c r="D13" s="500"/>
      <c r="E13" s="500"/>
      <c r="F13" s="499">
        <f>SUM(C13:E13)</f>
        <v>0</v>
      </c>
    </row>
    <row r="14" spans="1:6" s="444" customFormat="1" ht="15" thickBot="1">
      <c r="A14" s="443" t="s">
        <v>23</v>
      </c>
      <c r="B14" s="151" t="s">
        <v>194</v>
      </c>
      <c r="C14" s="501">
        <f>SUM(C9:C13)</f>
        <v>0</v>
      </c>
      <c r="D14" s="501">
        <f>SUM(D9:D13)</f>
        <v>0</v>
      </c>
      <c r="E14" s="501">
        <f>SUM(E9:E13)</f>
        <v>0</v>
      </c>
      <c r="F14" s="502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C14" sqref="C14"/>
    </sheetView>
  </sheetViews>
  <sheetFormatPr defaultColWidth="9.00390625" defaultRowHeight="12.75"/>
  <cols>
    <col min="1" max="1" width="5.625" style="143" customWidth="1"/>
    <col min="2" max="2" width="68.625" style="143" customWidth="1"/>
    <col min="3" max="3" width="19.50390625" style="143" customWidth="1"/>
    <col min="4" max="16384" width="9.375" style="143" customWidth="1"/>
  </cols>
  <sheetData>
    <row r="1" spans="1:3" ht="15">
      <c r="A1" s="627"/>
      <c r="B1" s="627"/>
      <c r="C1" s="627"/>
    </row>
    <row r="2" spans="1:3" ht="15">
      <c r="A2" s="627"/>
      <c r="B2" s="750" t="str">
        <f>CONCATENATE("4. melléklet ",ALAPADATOK!A7," ",ALAPADATOK!B7," ",ALAPADATOK!C7," ",ALAPADATOK!D7," ",ALAPADATOK!E7," ",ALAPADATOK!F7," ",ALAPADATOK!G7," ",ALAPADATOK!H7)</f>
        <v>4. melléklet a 2 / 2020 ( II. 21. ) önkormányzati rendelethez</v>
      </c>
      <c r="C2" s="750"/>
    </row>
    <row r="3" spans="1:3" ht="15">
      <c r="A3" s="627"/>
      <c r="B3" s="627"/>
      <c r="C3" s="627"/>
    </row>
    <row r="4" spans="1:3" ht="54" customHeight="1">
      <c r="A4" s="773" t="str">
        <f>CONCATENATE(PROPER(ALAPADATOK!A3)," saját bevételeinek részletezése az adósságot keletkeztető ügyletből származó tárgyévi fizetési kötelezettség megállapításához")</f>
        <v>Balatongyörök Község Önkormányzata saját bevételeinek részletezése az adósságot keletkeztető ügyletből származó tárgyévi fizetési kötelezettség megállapításához</v>
      </c>
      <c r="B4" s="773"/>
      <c r="C4" s="773"/>
    </row>
    <row r="5" spans="1:4" ht="15.75" customHeight="1" thickBot="1">
      <c r="A5" s="628"/>
      <c r="B5" s="628"/>
      <c r="C5" s="629" t="str">
        <f>'KV_2.2.sz.mell.'!E2</f>
        <v>Forintban!</v>
      </c>
      <c r="D5" s="149"/>
    </row>
    <row r="6" spans="1:3" ht="26.25" customHeight="1" thickBot="1">
      <c r="A6" s="630" t="s">
        <v>16</v>
      </c>
      <c r="B6" s="631" t="s">
        <v>192</v>
      </c>
      <c r="C6" s="632" t="str">
        <f>+'KV_1.1.sz.mell.'!C8</f>
        <v>2020. évi előirányzat</v>
      </c>
    </row>
    <row r="7" spans="1:3" ht="15.75" thickBot="1">
      <c r="A7" s="165"/>
      <c r="B7" s="491" t="s">
        <v>485</v>
      </c>
      <c r="C7" s="492" t="s">
        <v>486</v>
      </c>
    </row>
    <row r="8" spans="1:3" ht="15">
      <c r="A8" s="166" t="s">
        <v>18</v>
      </c>
      <c r="B8" s="333" t="s">
        <v>495</v>
      </c>
      <c r="C8" s="330">
        <v>159500000</v>
      </c>
    </row>
    <row r="9" spans="1:3" ht="24.75">
      <c r="A9" s="167" t="s">
        <v>19</v>
      </c>
      <c r="B9" s="362" t="s">
        <v>243</v>
      </c>
      <c r="C9" s="331">
        <v>145790828</v>
      </c>
    </row>
    <row r="10" spans="1:3" ht="15">
      <c r="A10" s="167" t="s">
        <v>20</v>
      </c>
      <c r="B10" s="363" t="s">
        <v>496</v>
      </c>
      <c r="C10" s="331">
        <v>0</v>
      </c>
    </row>
    <row r="11" spans="1:3" ht="24.75">
      <c r="A11" s="167" t="s">
        <v>21</v>
      </c>
      <c r="B11" s="363" t="s">
        <v>245</v>
      </c>
      <c r="C11" s="331">
        <v>5580000</v>
      </c>
    </row>
    <row r="12" spans="1:3" ht="15">
      <c r="A12" s="168" t="s">
        <v>22</v>
      </c>
      <c r="B12" s="363" t="s">
        <v>244</v>
      </c>
      <c r="C12" s="332">
        <v>500000</v>
      </c>
    </row>
    <row r="13" spans="1:3" ht="15.75" thickBot="1">
      <c r="A13" s="167" t="s">
        <v>23</v>
      </c>
      <c r="B13" s="364" t="s">
        <v>497</v>
      </c>
      <c r="C13" s="331">
        <v>0</v>
      </c>
    </row>
    <row r="14" spans="1:3" ht="15.75" thickBot="1">
      <c r="A14" s="774" t="s">
        <v>195</v>
      </c>
      <c r="B14" s="775"/>
      <c r="C14" s="169">
        <f>SUM(C8:C13)</f>
        <v>311370828</v>
      </c>
    </row>
    <row r="15" spans="1:3" ht="23.25" customHeight="1">
      <c r="A15" s="776" t="s">
        <v>222</v>
      </c>
      <c r="B15" s="776"/>
      <c r="C15" s="776"/>
    </row>
  </sheetData>
  <sheetProtection sheet="1"/>
  <mergeCells count="4">
    <mergeCell ref="A4:C4"/>
    <mergeCell ref="A14:B14"/>
    <mergeCell ref="A15:C15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5.625" style="143" customWidth="1"/>
    <col min="2" max="2" width="66.875" style="143" customWidth="1"/>
    <col min="3" max="3" width="27.00390625" style="143" customWidth="1"/>
    <col min="4" max="16384" width="9.375" style="143" customWidth="1"/>
  </cols>
  <sheetData>
    <row r="1" spans="1:3" ht="15">
      <c r="A1" s="627"/>
      <c r="B1" s="627"/>
      <c r="C1" s="627"/>
    </row>
    <row r="2" spans="1:3" ht="15">
      <c r="A2" s="627"/>
      <c r="B2" s="750" t="str">
        <f>CONCATENATE("5. melléklet ",ALAPADATOK!A7," ",ALAPADATOK!B7," ",ALAPADATOK!C7," ",ALAPADATOK!D7," ",ALAPADATOK!E7," ",ALAPADATOK!F7," ",ALAPADATOK!G7," ",ALAPADATOK!H7)</f>
        <v>5. melléklet a 2 / 2020 ( II. 21. ) önkormányzati rendelethez</v>
      </c>
      <c r="C2" s="750"/>
    </row>
    <row r="3" spans="1:3" ht="15">
      <c r="A3" s="627"/>
      <c r="B3" s="627"/>
      <c r="C3" s="627"/>
    </row>
    <row r="4" spans="1:3" ht="33" customHeight="1">
      <c r="A4" s="773" t="str">
        <f>CONCATENATE(PROPER(ALAPADATOK!A3)," ",ALAPADATOK!D7,". évi adósságot keletkeztető fejlesztési céljai")</f>
        <v>Balatongyörök Község Önkormányzata 2020. évi adósságot keletkeztető fejlesztési céljai</v>
      </c>
      <c r="B4" s="773"/>
      <c r="C4" s="773"/>
    </row>
    <row r="5" spans="1:4" ht="15.75" customHeight="1" thickBot="1">
      <c r="A5" s="628"/>
      <c r="B5" s="628"/>
      <c r="C5" s="629" t="str">
        <f>'KV_4.sz.mell.'!C5</f>
        <v>Forintban!</v>
      </c>
      <c r="D5" s="149"/>
    </row>
    <row r="6" spans="1:3" ht="26.25" customHeight="1" thickBot="1">
      <c r="A6" s="630" t="s">
        <v>16</v>
      </c>
      <c r="B6" s="631" t="s">
        <v>196</v>
      </c>
      <c r="C6" s="632" t="s">
        <v>221</v>
      </c>
    </row>
    <row r="7" spans="1:3" ht="15.75" thickBot="1">
      <c r="A7" s="165"/>
      <c r="B7" s="491" t="s">
        <v>485</v>
      </c>
      <c r="C7" s="492" t="s">
        <v>486</v>
      </c>
    </row>
    <row r="8" spans="1:3" ht="15">
      <c r="A8" s="166" t="s">
        <v>18</v>
      </c>
      <c r="B8" s="173"/>
      <c r="C8" s="170"/>
    </row>
    <row r="9" spans="1:3" ht="15">
      <c r="A9" s="167" t="s">
        <v>19</v>
      </c>
      <c r="B9" s="174"/>
      <c r="C9" s="171"/>
    </row>
    <row r="10" spans="1:3" ht="15.75" thickBot="1">
      <c r="A10" s="168" t="s">
        <v>20</v>
      </c>
      <c r="B10" s="175"/>
      <c r="C10" s="172"/>
    </row>
    <row r="11" spans="1:3" s="444" customFormat="1" ht="17.25" customHeight="1" thickBot="1">
      <c r="A11" s="445" t="s">
        <v>21</v>
      </c>
      <c r="B11" s="125" t="s">
        <v>678</v>
      </c>
      <c r="C11" s="169">
        <f>SUM(C8:C10)</f>
        <v>0</v>
      </c>
    </row>
    <row r="12" spans="1:3" ht="24.75" customHeight="1">
      <c r="A12" s="777" t="s">
        <v>677</v>
      </c>
      <c r="B12" s="777"/>
      <c r="C12" s="777"/>
    </row>
    <row r="15" ht="15.75">
      <c r="B15" s="119"/>
    </row>
  </sheetData>
  <sheetProtection sheet="1"/>
  <mergeCells count="3">
    <mergeCell ref="A4:C4"/>
    <mergeCell ref="B2:C2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zoomScale="120" zoomScaleNormal="120" workbookViewId="0" topLeftCell="A1">
      <selection activeCell="D10" sqref="D10"/>
    </sheetView>
  </sheetViews>
  <sheetFormatPr defaultColWidth="9.00390625" defaultRowHeight="12.75"/>
  <cols>
    <col min="1" max="1" width="47.125" style="42" customWidth="1"/>
    <col min="2" max="2" width="15.625" style="41" customWidth="1"/>
    <col min="3" max="3" width="16.375" style="41" customWidth="1"/>
    <col min="4" max="4" width="18.00390625" style="41" customWidth="1"/>
    <col min="5" max="5" width="16.625" style="41" customWidth="1"/>
    <col min="6" max="6" width="18.875" style="54" customWidth="1"/>
    <col min="7" max="8" width="12.875" style="41" customWidth="1"/>
    <col min="9" max="9" width="13.875" style="41" customWidth="1"/>
    <col min="10" max="16384" width="9.375" style="41" customWidth="1"/>
  </cols>
  <sheetData>
    <row r="1" spans="1:6" ht="12.75">
      <c r="A1" s="605"/>
      <c r="B1" s="592"/>
      <c r="C1" s="592"/>
      <c r="D1" s="592"/>
      <c r="E1" s="592"/>
      <c r="F1" s="592"/>
    </row>
    <row r="2" spans="1:6" ht="18" customHeight="1">
      <c r="A2" s="605"/>
      <c r="B2" s="779" t="str">
        <f>CONCATENATE("6. melléklet ",ALAPADATOK!A7," ",ALAPADATOK!B7," ",ALAPADATOK!C7," ",ALAPADATOK!D7," ",ALAPADATOK!E7," ",ALAPADATOK!F7," ",ALAPADATOK!G7," ",ALAPADATOK!H7)</f>
        <v>6. melléklet a 2 / 2020 ( II. 21. ) önkormányzati rendelethez</v>
      </c>
      <c r="C2" s="780"/>
      <c r="D2" s="780"/>
      <c r="E2" s="780"/>
      <c r="F2" s="780"/>
    </row>
    <row r="3" spans="1:6" ht="12.75">
      <c r="A3" s="605"/>
      <c r="B3" s="592"/>
      <c r="C3" s="592"/>
      <c r="D3" s="592"/>
      <c r="E3" s="592"/>
      <c r="F3" s="592"/>
    </row>
    <row r="4" spans="1:6" ht="25.5" customHeight="1">
      <c r="A4" s="778" t="s">
        <v>0</v>
      </c>
      <c r="B4" s="778"/>
      <c r="C4" s="778"/>
      <c r="D4" s="778"/>
      <c r="E4" s="778"/>
      <c r="F4" s="778"/>
    </row>
    <row r="5" spans="1:6" ht="16.5" customHeight="1" thickBot="1">
      <c r="A5" s="605"/>
      <c r="B5" s="592"/>
      <c r="C5" s="592"/>
      <c r="D5" s="592"/>
      <c r="E5" s="592"/>
      <c r="F5" s="606" t="str">
        <f>'KV_5.sz.mell.'!C5</f>
        <v>Forintban!</v>
      </c>
    </row>
    <row r="6" spans="1:6" s="44" customFormat="1" ht="44.25" customHeight="1" thickBot="1">
      <c r="A6" s="607" t="s">
        <v>64</v>
      </c>
      <c r="B6" s="608" t="s">
        <v>65</v>
      </c>
      <c r="C6" s="608" t="s">
        <v>66</v>
      </c>
      <c r="D6" s="608" t="str">
        <f>+CONCATENATE("Felhasználás   ",LEFT(KV_ÖSSZEFÜGGÉSEK!A5,4)-1,". XII. 31-ig")</f>
        <v>Felhasználás   2019. XII. 31-ig</v>
      </c>
      <c r="E6" s="608" t="str">
        <f>+'KV_1.1.sz.mell.'!C8</f>
        <v>2020. évi előirányzat</v>
      </c>
      <c r="F6" s="609" t="str">
        <f>+CONCATENATE(LEFT(KV_ÖSSZEFÜGGÉSEK!A5,4),". utáni szükséglet")</f>
        <v>2020. utáni szükséglet</v>
      </c>
    </row>
    <row r="7" spans="1:6" s="54" customFormat="1" ht="12" customHeight="1" thickBot="1">
      <c r="A7" s="52" t="s">
        <v>485</v>
      </c>
      <c r="B7" s="53" t="s">
        <v>486</v>
      </c>
      <c r="C7" s="53" t="s">
        <v>487</v>
      </c>
      <c r="D7" s="53" t="s">
        <v>489</v>
      </c>
      <c r="E7" s="53" t="s">
        <v>488</v>
      </c>
      <c r="F7" s="494" t="s">
        <v>550</v>
      </c>
    </row>
    <row r="8" spans="1:6" ht="15.75" customHeight="1">
      <c r="A8" s="698" t="s">
        <v>718</v>
      </c>
      <c r="B8" s="699">
        <v>11311500</v>
      </c>
      <c r="C8" s="700" t="s">
        <v>739</v>
      </c>
      <c r="D8" s="699">
        <v>6803000</v>
      </c>
      <c r="E8" s="25">
        <v>4508500</v>
      </c>
      <c r="F8" s="55">
        <f aca="true" t="shared" si="0" ref="F8:F24">B8-D8-E8</f>
        <v>0</v>
      </c>
    </row>
    <row r="9" spans="1:6" ht="15.75" customHeight="1">
      <c r="A9" s="701" t="s">
        <v>724</v>
      </c>
      <c r="B9" s="699">
        <v>11938000</v>
      </c>
      <c r="C9" s="700" t="s">
        <v>719</v>
      </c>
      <c r="D9" s="699">
        <v>6350000</v>
      </c>
      <c r="E9" s="25">
        <v>5588000</v>
      </c>
      <c r="F9" s="55">
        <f t="shared" si="0"/>
        <v>0</v>
      </c>
    </row>
    <row r="10" spans="1:6" ht="15.75" customHeight="1">
      <c r="A10" s="701" t="s">
        <v>725</v>
      </c>
      <c r="B10" s="699">
        <v>2603500</v>
      </c>
      <c r="C10" s="700" t="s">
        <v>723</v>
      </c>
      <c r="D10" s="699"/>
      <c r="E10" s="25">
        <v>2603500</v>
      </c>
      <c r="F10" s="55">
        <f>B10-D10-E10</f>
        <v>0</v>
      </c>
    </row>
    <row r="11" spans="1:6" ht="15.75" customHeight="1">
      <c r="A11" s="701" t="s">
        <v>726</v>
      </c>
      <c r="B11" s="699">
        <v>3302000</v>
      </c>
      <c r="C11" s="700" t="s">
        <v>723</v>
      </c>
      <c r="D11" s="699"/>
      <c r="E11" s="25">
        <v>3302000</v>
      </c>
      <c r="F11" s="55">
        <f t="shared" si="0"/>
        <v>0</v>
      </c>
    </row>
    <row r="12" spans="1:6" ht="15.75" customHeight="1">
      <c r="A12" s="701" t="s">
        <v>720</v>
      </c>
      <c r="B12" s="699">
        <v>12700000</v>
      </c>
      <c r="C12" s="700" t="s">
        <v>723</v>
      </c>
      <c r="D12" s="699"/>
      <c r="E12" s="25">
        <v>12700000</v>
      </c>
      <c r="F12" s="55">
        <f t="shared" si="0"/>
        <v>0</v>
      </c>
    </row>
    <row r="13" spans="1:6" ht="15.75" customHeight="1">
      <c r="A13" s="702" t="s">
        <v>722</v>
      </c>
      <c r="B13" s="699">
        <v>5080000</v>
      </c>
      <c r="C13" s="700" t="s">
        <v>723</v>
      </c>
      <c r="D13" s="699"/>
      <c r="E13" s="25">
        <v>5080000</v>
      </c>
      <c r="F13" s="55">
        <f t="shared" si="0"/>
        <v>0</v>
      </c>
    </row>
    <row r="14" spans="1:6" ht="15.75" customHeight="1">
      <c r="A14" s="702" t="s">
        <v>721</v>
      </c>
      <c r="B14" s="699">
        <v>7366000</v>
      </c>
      <c r="C14" s="700" t="s">
        <v>723</v>
      </c>
      <c r="D14" s="699"/>
      <c r="E14" s="25">
        <v>7366000</v>
      </c>
      <c r="F14" s="55">
        <f t="shared" si="0"/>
        <v>0</v>
      </c>
    </row>
    <row r="15" spans="1:6" ht="15.75" customHeight="1">
      <c r="A15" s="446"/>
      <c r="B15" s="25"/>
      <c r="C15" s="447"/>
      <c r="D15" s="25"/>
      <c r="E15" s="25"/>
      <c r="F15" s="55">
        <f t="shared" si="0"/>
        <v>0</v>
      </c>
    </row>
    <row r="16" spans="1:6" ht="15.75" customHeight="1">
      <c r="A16" s="446"/>
      <c r="B16" s="25"/>
      <c r="C16" s="447"/>
      <c r="D16" s="25"/>
      <c r="E16" s="25"/>
      <c r="F16" s="55">
        <f t="shared" si="0"/>
        <v>0</v>
      </c>
    </row>
    <row r="17" spans="1:6" ht="15.75" customHeight="1">
      <c r="A17" s="446"/>
      <c r="B17" s="25"/>
      <c r="C17" s="447"/>
      <c r="D17" s="25"/>
      <c r="E17" s="25"/>
      <c r="F17" s="55">
        <f t="shared" si="0"/>
        <v>0</v>
      </c>
    </row>
    <row r="18" spans="1:6" ht="15.75" customHeight="1">
      <c r="A18" s="446"/>
      <c r="B18" s="25"/>
      <c r="C18" s="447"/>
      <c r="D18" s="25"/>
      <c r="E18" s="25"/>
      <c r="F18" s="55">
        <f t="shared" si="0"/>
        <v>0</v>
      </c>
    </row>
    <row r="19" spans="1:6" ht="15.75" customHeight="1">
      <c r="A19" s="446"/>
      <c r="B19" s="25"/>
      <c r="C19" s="447"/>
      <c r="D19" s="25"/>
      <c r="E19" s="25"/>
      <c r="F19" s="55">
        <f t="shared" si="0"/>
        <v>0</v>
      </c>
    </row>
    <row r="20" spans="1:6" ht="15.75" customHeight="1">
      <c r="A20" s="446"/>
      <c r="B20" s="25"/>
      <c r="C20" s="447"/>
      <c r="D20" s="25"/>
      <c r="E20" s="25"/>
      <c r="F20" s="55">
        <f t="shared" si="0"/>
        <v>0</v>
      </c>
    </row>
    <row r="21" spans="1:6" ht="15.75" customHeight="1">
      <c r="A21" s="446"/>
      <c r="B21" s="25"/>
      <c r="C21" s="447"/>
      <c r="D21" s="25"/>
      <c r="E21" s="25"/>
      <c r="F21" s="55">
        <f t="shared" si="0"/>
        <v>0</v>
      </c>
    </row>
    <row r="22" spans="1:6" ht="15.75" customHeight="1">
      <c r="A22" s="446"/>
      <c r="B22" s="25"/>
      <c r="C22" s="447"/>
      <c r="D22" s="25"/>
      <c r="E22" s="25"/>
      <c r="F22" s="55">
        <f t="shared" si="0"/>
        <v>0</v>
      </c>
    </row>
    <row r="23" spans="1:6" ht="15.75" customHeight="1">
      <c r="A23" s="446"/>
      <c r="B23" s="25"/>
      <c r="C23" s="447"/>
      <c r="D23" s="25"/>
      <c r="E23" s="25"/>
      <c r="F23" s="55">
        <f t="shared" si="0"/>
        <v>0</v>
      </c>
    </row>
    <row r="24" spans="1:6" ht="15.75" customHeight="1" thickBot="1">
      <c r="A24" s="56"/>
      <c r="B24" s="26"/>
      <c r="C24" s="448"/>
      <c r="D24" s="26"/>
      <c r="E24" s="26"/>
      <c r="F24" s="57">
        <f t="shared" si="0"/>
        <v>0</v>
      </c>
    </row>
    <row r="25" spans="1:6" s="60" customFormat="1" ht="18" customHeight="1" thickBot="1">
      <c r="A25" s="181" t="s">
        <v>63</v>
      </c>
      <c r="B25" s="58">
        <f>SUM(B8:B24)</f>
        <v>54301000</v>
      </c>
      <c r="C25" s="113"/>
      <c r="D25" s="58">
        <f>SUM(D8:D24)</f>
        <v>13153000</v>
      </c>
      <c r="E25" s="58">
        <f>SUM(E8:E24)</f>
        <v>41148000</v>
      </c>
      <c r="F25" s="59">
        <f>SUM(F8:F24)</f>
        <v>0</v>
      </c>
    </row>
  </sheetData>
  <sheetProtection/>
  <mergeCells count="2">
    <mergeCell ref="A4:F4"/>
    <mergeCell ref="B2:F2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10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F26"/>
  <sheetViews>
    <sheetView zoomScale="120" zoomScaleNormal="120" workbookViewId="0" topLeftCell="A4">
      <selection activeCell="A9" sqref="A9"/>
    </sheetView>
  </sheetViews>
  <sheetFormatPr defaultColWidth="9.00390625" defaultRowHeight="12.75"/>
  <cols>
    <col min="1" max="1" width="60.625" style="42" customWidth="1"/>
    <col min="2" max="2" width="15.625" style="41" customWidth="1"/>
    <col min="3" max="3" width="16.375" style="41" customWidth="1"/>
    <col min="4" max="4" width="18.00390625" style="41" customWidth="1"/>
    <col min="5" max="5" width="16.625" style="41" customWidth="1"/>
    <col min="6" max="6" width="18.875" style="41" customWidth="1"/>
    <col min="7" max="8" width="12.875" style="41" customWidth="1"/>
    <col min="9" max="9" width="13.875" style="41" customWidth="1"/>
    <col min="10" max="16384" width="9.375" style="41" customWidth="1"/>
  </cols>
  <sheetData>
    <row r="1" spans="1:6" ht="12.75">
      <c r="A1" s="605"/>
      <c r="B1" s="592"/>
      <c r="C1" s="592"/>
      <c r="D1" s="592"/>
      <c r="E1" s="592"/>
      <c r="F1" s="592"/>
    </row>
    <row r="2" spans="1:6" ht="21" customHeight="1">
      <c r="A2" s="605"/>
      <c r="B2" s="779" t="str">
        <f>CONCATENATE("7. melléklet ",ALAPADATOK!A7," ",ALAPADATOK!B7," ",ALAPADATOK!C7," ",ALAPADATOK!D7," ",ALAPADATOK!E7," ",ALAPADATOK!F7," ",ALAPADATOK!G7," ",ALAPADATOK!H7)</f>
        <v>7. melléklet a 2 / 2020 ( II. 21. ) önkormányzati rendelethez</v>
      </c>
      <c r="C2" s="779"/>
      <c r="D2" s="779"/>
      <c r="E2" s="779"/>
      <c r="F2" s="779"/>
    </row>
    <row r="3" spans="1:6" ht="12.75">
      <c r="A3" s="605"/>
      <c r="B3" s="592"/>
      <c r="C3" s="592"/>
      <c r="D3" s="592"/>
      <c r="E3" s="592"/>
      <c r="F3" s="592"/>
    </row>
    <row r="4" spans="1:6" ht="24.75" customHeight="1">
      <c r="A4" s="778" t="s">
        <v>1</v>
      </c>
      <c r="B4" s="778"/>
      <c r="C4" s="778"/>
      <c r="D4" s="778"/>
      <c r="E4" s="778"/>
      <c r="F4" s="778"/>
    </row>
    <row r="5" spans="1:6" ht="23.25" customHeight="1" thickBot="1">
      <c r="A5" s="605"/>
      <c r="B5" s="592"/>
      <c r="C5" s="592"/>
      <c r="D5" s="592"/>
      <c r="E5" s="592"/>
      <c r="F5" s="606" t="str">
        <f>'KV_6.sz.mell.'!F5</f>
        <v>Forintban!</v>
      </c>
    </row>
    <row r="6" spans="1:6" s="44" customFormat="1" ht="48.75" customHeight="1" thickBot="1">
      <c r="A6" s="607" t="s">
        <v>67</v>
      </c>
      <c r="B6" s="608" t="s">
        <v>65</v>
      </c>
      <c r="C6" s="608" t="s">
        <v>66</v>
      </c>
      <c r="D6" s="608" t="str">
        <f>+'KV_6.sz.mell.'!D6</f>
        <v>Felhasználás   2019. XII. 31-ig</v>
      </c>
      <c r="E6" s="608" t="str">
        <f>+'KV_6.sz.mell.'!E6</f>
        <v>2020. évi előirányzat</v>
      </c>
      <c r="F6" s="610" t="str">
        <f>+CONCATENATE(LEFT(KV_ÖSSZEFÜGGÉSEK!A5,4),". utáni szükséglet ",CHAR(10),"")</f>
        <v>2020. utáni szükséglet 
</v>
      </c>
    </row>
    <row r="7" spans="1:6" s="54" customFormat="1" ht="15" customHeight="1" thickBot="1">
      <c r="A7" s="52" t="s">
        <v>485</v>
      </c>
      <c r="B7" s="53" t="s">
        <v>486</v>
      </c>
      <c r="C7" s="53" t="s">
        <v>487</v>
      </c>
      <c r="D7" s="53" t="s">
        <v>489</v>
      </c>
      <c r="E7" s="53" t="s">
        <v>488</v>
      </c>
      <c r="F7" s="495" t="s">
        <v>550</v>
      </c>
    </row>
    <row r="8" spans="1:6" ht="15.75" customHeight="1">
      <c r="A8" s="706" t="s">
        <v>727</v>
      </c>
      <c r="B8" s="699">
        <v>41000000</v>
      </c>
      <c r="C8" s="700" t="s">
        <v>735</v>
      </c>
      <c r="D8" s="62"/>
      <c r="E8" s="62">
        <v>41000000</v>
      </c>
      <c r="F8" s="63">
        <f aca="true" t="shared" si="0" ref="F8:F25">B8-D8-E8</f>
        <v>0</v>
      </c>
    </row>
    <row r="9" spans="1:6" ht="15.75" customHeight="1">
      <c r="A9" s="707" t="s">
        <v>728</v>
      </c>
      <c r="B9" s="699">
        <v>86183267</v>
      </c>
      <c r="C9" s="700" t="s">
        <v>736</v>
      </c>
      <c r="D9" s="62"/>
      <c r="E9" s="62">
        <v>30147167</v>
      </c>
      <c r="F9" s="63">
        <f t="shared" si="0"/>
        <v>56036100</v>
      </c>
    </row>
    <row r="10" spans="1:6" ht="15.75" customHeight="1">
      <c r="A10" s="707" t="s">
        <v>731</v>
      </c>
      <c r="B10" s="699">
        <v>38000000</v>
      </c>
      <c r="C10" s="700" t="s">
        <v>723</v>
      </c>
      <c r="D10" s="62"/>
      <c r="E10" s="62">
        <v>38000000</v>
      </c>
      <c r="F10" s="63">
        <f t="shared" si="0"/>
        <v>0</v>
      </c>
    </row>
    <row r="11" spans="1:6" ht="15.75" customHeight="1">
      <c r="A11" s="703" t="s">
        <v>732</v>
      </c>
      <c r="B11" s="699">
        <v>18700000</v>
      </c>
      <c r="C11" s="700" t="s">
        <v>723</v>
      </c>
      <c r="D11" s="62"/>
      <c r="E11" s="62">
        <v>18700000</v>
      </c>
      <c r="F11" s="63">
        <f t="shared" si="0"/>
        <v>0</v>
      </c>
    </row>
    <row r="12" spans="1:6" ht="15.75" customHeight="1">
      <c r="A12" s="703" t="s">
        <v>733</v>
      </c>
      <c r="B12" s="699">
        <v>42100000</v>
      </c>
      <c r="C12" s="700" t="s">
        <v>723</v>
      </c>
      <c r="D12" s="62"/>
      <c r="E12" s="62">
        <v>42100000</v>
      </c>
      <c r="F12" s="63">
        <f t="shared" si="0"/>
        <v>0</v>
      </c>
    </row>
    <row r="13" spans="1:6" ht="15.75" customHeight="1">
      <c r="A13" s="703" t="s">
        <v>729</v>
      </c>
      <c r="B13" s="704">
        <v>30000000</v>
      </c>
      <c r="C13" s="705" t="s">
        <v>723</v>
      </c>
      <c r="D13" s="62"/>
      <c r="E13" s="62">
        <v>30000000</v>
      </c>
      <c r="F13" s="63">
        <f t="shared" si="0"/>
        <v>0</v>
      </c>
    </row>
    <row r="14" spans="1:6" ht="15.75" customHeight="1">
      <c r="A14" s="703" t="s">
        <v>734</v>
      </c>
      <c r="B14" s="704">
        <v>95250000</v>
      </c>
      <c r="C14" s="705" t="s">
        <v>723</v>
      </c>
      <c r="D14" s="62"/>
      <c r="E14" s="62">
        <v>95250000</v>
      </c>
      <c r="F14" s="63">
        <f t="shared" si="0"/>
        <v>0</v>
      </c>
    </row>
    <row r="15" spans="1:6" ht="15.75" customHeight="1">
      <c r="A15" s="703" t="s">
        <v>730</v>
      </c>
      <c r="B15" s="704">
        <v>33575000</v>
      </c>
      <c r="C15" s="705" t="s">
        <v>735</v>
      </c>
      <c r="D15" s="62"/>
      <c r="E15" s="62">
        <v>33575000</v>
      </c>
      <c r="F15" s="63">
        <f t="shared" si="0"/>
        <v>0</v>
      </c>
    </row>
    <row r="16" spans="1:6" ht="24" customHeight="1">
      <c r="A16" s="703" t="s">
        <v>737</v>
      </c>
      <c r="B16" s="704">
        <v>16000000</v>
      </c>
      <c r="C16" s="705" t="s">
        <v>735</v>
      </c>
      <c r="D16" s="62"/>
      <c r="E16" s="62">
        <v>16000000</v>
      </c>
      <c r="F16" s="63">
        <f t="shared" si="0"/>
        <v>0</v>
      </c>
    </row>
    <row r="17" spans="1:6" ht="21" customHeight="1">
      <c r="A17" s="703" t="s">
        <v>738</v>
      </c>
      <c r="B17" s="704">
        <v>80000000</v>
      </c>
      <c r="C17" s="705" t="s">
        <v>735</v>
      </c>
      <c r="D17" s="62"/>
      <c r="E17" s="62">
        <v>80000000</v>
      </c>
      <c r="F17" s="63">
        <f t="shared" si="0"/>
        <v>0</v>
      </c>
    </row>
    <row r="18" spans="1:6" ht="15.75" customHeight="1">
      <c r="A18" s="61"/>
      <c r="B18" s="62"/>
      <c r="C18" s="449"/>
      <c r="D18" s="62"/>
      <c r="E18" s="62"/>
      <c r="F18" s="63">
        <f t="shared" si="0"/>
        <v>0</v>
      </c>
    </row>
    <row r="19" spans="1:6" ht="15.75" customHeight="1">
      <c r="A19" s="61"/>
      <c r="B19" s="62"/>
      <c r="C19" s="449"/>
      <c r="D19" s="62"/>
      <c r="E19" s="62"/>
      <c r="F19" s="63">
        <f t="shared" si="0"/>
        <v>0</v>
      </c>
    </row>
    <row r="20" spans="1:6" ht="15.75" customHeight="1">
      <c r="A20" s="61"/>
      <c r="B20" s="62"/>
      <c r="C20" s="449"/>
      <c r="D20" s="62"/>
      <c r="E20" s="62"/>
      <c r="F20" s="63">
        <f t="shared" si="0"/>
        <v>0</v>
      </c>
    </row>
    <row r="21" spans="1:6" ht="15.75" customHeight="1">
      <c r="A21" s="61"/>
      <c r="B21" s="62"/>
      <c r="C21" s="449"/>
      <c r="D21" s="62"/>
      <c r="E21" s="62"/>
      <c r="F21" s="63">
        <f t="shared" si="0"/>
        <v>0</v>
      </c>
    </row>
    <row r="22" spans="1:6" ht="15.75" customHeight="1">
      <c r="A22" s="61"/>
      <c r="B22" s="62"/>
      <c r="C22" s="449"/>
      <c r="D22" s="62"/>
      <c r="E22" s="62"/>
      <c r="F22" s="63">
        <f t="shared" si="0"/>
        <v>0</v>
      </c>
    </row>
    <row r="23" spans="1:6" ht="15.75" customHeight="1">
      <c r="A23" s="61"/>
      <c r="B23" s="62"/>
      <c r="C23" s="449"/>
      <c r="D23" s="62"/>
      <c r="E23" s="62"/>
      <c r="F23" s="63">
        <f t="shared" si="0"/>
        <v>0</v>
      </c>
    </row>
    <row r="24" spans="1:6" ht="15.75" customHeight="1">
      <c r="A24" s="61"/>
      <c r="B24" s="62"/>
      <c r="C24" s="449"/>
      <c r="D24" s="62"/>
      <c r="E24" s="62"/>
      <c r="F24" s="63">
        <f t="shared" si="0"/>
        <v>0</v>
      </c>
    </row>
    <row r="25" spans="1:6" ht="15.75" customHeight="1" thickBot="1">
      <c r="A25" s="64"/>
      <c r="B25" s="65"/>
      <c r="C25" s="450"/>
      <c r="D25" s="65"/>
      <c r="E25" s="65"/>
      <c r="F25" s="66">
        <f t="shared" si="0"/>
        <v>0</v>
      </c>
    </row>
    <row r="26" spans="1:6" s="60" customFormat="1" ht="18" customHeight="1" thickBot="1">
      <c r="A26" s="181" t="s">
        <v>63</v>
      </c>
      <c r="B26" s="182">
        <f>SUM(B8:B25)</f>
        <v>480808267</v>
      </c>
      <c r="C26" s="114"/>
      <c r="D26" s="182">
        <f>SUM(D8:D25)</f>
        <v>0</v>
      </c>
      <c r="E26" s="182">
        <f>SUM(E8:E25)</f>
        <v>424772167</v>
      </c>
      <c r="F26" s="67">
        <f>SUM(F8:F25)</f>
        <v>56036100</v>
      </c>
    </row>
  </sheetData>
  <sheetProtection/>
  <mergeCells count="2">
    <mergeCell ref="A4:F4"/>
    <mergeCell ref="B2:F2"/>
  </mergeCells>
  <printOptions horizontalCentered="1"/>
  <pageMargins left="0.7874015748031497" right="0.7874015748031497" top="1.220472440944882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38.625" style="46" customWidth="1"/>
    <col min="2" max="4" width="24.875" style="46" customWidth="1"/>
    <col min="5" max="5" width="26.875" style="46" customWidth="1"/>
    <col min="6" max="6" width="5.00390625" style="46" bestFit="1" customWidth="1"/>
    <col min="7" max="16384" width="9.375" style="46" customWidth="1"/>
  </cols>
  <sheetData>
    <row r="1" ht="12.75">
      <c r="F1" s="796" t="str">
        <f>CONCATENATE("8. melléklet ",ALAPADATOK!A7," ",ALAPADATOK!B7," ",ALAPADATOK!C7," ",ALAPADATOK!D7," ",ALAPADATOK!E7," ",ALAPADATOK!F7," ",ALAPADATOK!G7," ",ALAPADATOK!H7)</f>
        <v>8. melléklet a 2 / 2020 ( II. 21. ) önkormányzati rendelethez</v>
      </c>
    </row>
    <row r="2" spans="1:6" ht="15.75">
      <c r="A2" s="799" t="s">
        <v>671</v>
      </c>
      <c r="B2" s="799"/>
      <c r="C2" s="799"/>
      <c r="D2" s="799"/>
      <c r="E2" s="799"/>
      <c r="F2" s="796"/>
    </row>
    <row r="3" spans="1:6" ht="14.25" thickBot="1">
      <c r="A3" s="664"/>
      <c r="B3" s="664"/>
      <c r="C3" s="664"/>
      <c r="D3" s="664"/>
      <c r="E3" s="665" t="str">
        <f>'KV_7.sz.mell.'!F5</f>
        <v>Forintban!</v>
      </c>
      <c r="F3" s="796"/>
    </row>
    <row r="4" spans="1:6" ht="13.5" thickBot="1">
      <c r="A4" s="800" t="s">
        <v>136</v>
      </c>
      <c r="B4" s="801"/>
      <c r="C4" s="801"/>
      <c r="D4" s="801"/>
      <c r="E4" s="667" t="s">
        <v>55</v>
      </c>
      <c r="F4" s="796"/>
    </row>
    <row r="5" spans="1:6" ht="12.75">
      <c r="A5" s="802"/>
      <c r="B5" s="803"/>
      <c r="C5" s="803"/>
      <c r="D5" s="803"/>
      <c r="E5" s="668"/>
      <c r="F5" s="796"/>
    </row>
    <row r="6" spans="1:6" ht="13.5" thickBot="1">
      <c r="A6" s="804"/>
      <c r="B6" s="805"/>
      <c r="C6" s="805"/>
      <c r="D6" s="805"/>
      <c r="E6" s="669"/>
      <c r="F6" s="796"/>
    </row>
    <row r="7" spans="1:6" ht="13.5" customHeight="1" thickBot="1">
      <c r="A7" s="806" t="s">
        <v>672</v>
      </c>
      <c r="B7" s="807"/>
      <c r="C7" s="807"/>
      <c r="D7" s="807"/>
      <c r="E7" s="670">
        <f>SUM(E5:E6)</f>
        <v>0</v>
      </c>
      <c r="F7" s="796"/>
    </row>
    <row r="8" spans="1:6" ht="13.5" customHeight="1">
      <c r="A8" s="673"/>
      <c r="B8" s="673"/>
      <c r="C8" s="673"/>
      <c r="D8" s="673"/>
      <c r="E8" s="674"/>
      <c r="F8" s="796"/>
    </row>
    <row r="9" spans="1:6" ht="15.75">
      <c r="A9" s="809" t="s">
        <v>657</v>
      </c>
      <c r="B9" s="809"/>
      <c r="C9" s="809"/>
      <c r="D9" s="809"/>
      <c r="E9" s="809"/>
      <c r="F9" s="796"/>
    </row>
    <row r="10" spans="1:6" ht="15.75">
      <c r="A10" s="797" t="s">
        <v>679</v>
      </c>
      <c r="B10" s="798"/>
      <c r="C10" s="798"/>
      <c r="D10" s="798"/>
      <c r="E10" s="798"/>
      <c r="F10" s="796"/>
    </row>
    <row r="11" spans="1:6" ht="14.25" customHeight="1">
      <c r="A11" s="781" t="s">
        <v>686</v>
      </c>
      <c r="B11" s="781"/>
      <c r="C11" s="781"/>
      <c r="D11" s="781"/>
      <c r="E11" s="781"/>
      <c r="F11" s="796"/>
    </row>
    <row r="12" spans="1:6" ht="15.75" thickBot="1">
      <c r="A12" s="650"/>
      <c r="B12" s="650"/>
      <c r="C12" s="650"/>
      <c r="D12" s="650"/>
      <c r="E12" s="689" t="str">
        <f>$E$3</f>
        <v>Forintban!</v>
      </c>
      <c r="F12" s="796"/>
    </row>
    <row r="13" spans="1:6" ht="13.5" customHeight="1" thickBot="1">
      <c r="A13" s="783" t="s">
        <v>130</v>
      </c>
      <c r="B13" s="786" t="s">
        <v>668</v>
      </c>
      <c r="C13" s="787"/>
      <c r="D13" s="787"/>
      <c r="E13" s="788"/>
      <c r="F13" s="796"/>
    </row>
    <row r="14" spans="1:6" ht="13.5" customHeight="1" thickBot="1">
      <c r="A14" s="784"/>
      <c r="B14" s="789" t="s">
        <v>680</v>
      </c>
      <c r="C14" s="792" t="s">
        <v>669</v>
      </c>
      <c r="D14" s="793"/>
      <c r="E14" s="794"/>
      <c r="F14" s="796"/>
    </row>
    <row r="15" spans="1:6" ht="12.75" customHeight="1">
      <c r="A15" s="784"/>
      <c r="B15" s="790"/>
      <c r="C15" s="789" t="str">
        <f>CONCATENATE(TARTALOMJEGYZÉK!$A$1,". előtti tervezett forrás, kiadás")</f>
        <v>2020. előtti tervezett forrás, kiadás</v>
      </c>
      <c r="D15" s="789" t="str">
        <f>CONCATENATE(TARTALOMJEGYZÉK!$A$1,". évi eredeti előirányzat")</f>
        <v>2020. évi eredeti előirányzat</v>
      </c>
      <c r="E15" s="789" t="str">
        <f>CONCATENATE(TARTALOMJEGYZÉK!$A$1,". év utáni tervezett forrás, kiadás")</f>
        <v>2020. év utáni tervezett forrás, kiadás</v>
      </c>
      <c r="F15" s="796"/>
    </row>
    <row r="16" spans="1:6" ht="13.5" thickBot="1">
      <c r="A16" s="785"/>
      <c r="B16" s="791"/>
      <c r="C16" s="795"/>
      <c r="D16" s="795"/>
      <c r="E16" s="791"/>
      <c r="F16" s="796"/>
    </row>
    <row r="17" spans="1:6" ht="13.5" thickBot="1">
      <c r="A17" s="651" t="s">
        <v>485</v>
      </c>
      <c r="B17" s="652" t="s">
        <v>670</v>
      </c>
      <c r="C17" s="653" t="s">
        <v>487</v>
      </c>
      <c r="D17" s="654" t="s">
        <v>489</v>
      </c>
      <c r="E17" s="655" t="s">
        <v>488</v>
      </c>
      <c r="F17" s="796"/>
    </row>
    <row r="18" spans="1:6" ht="12.75">
      <c r="A18" s="656" t="s">
        <v>131</v>
      </c>
      <c r="B18" s="676">
        <v>6203926</v>
      </c>
      <c r="C18" s="677"/>
      <c r="D18" s="677">
        <v>6203926</v>
      </c>
      <c r="E18" s="678"/>
      <c r="F18" s="796"/>
    </row>
    <row r="19" spans="1:6" ht="12.75">
      <c r="A19" s="657" t="s">
        <v>142</v>
      </c>
      <c r="B19" s="679">
        <f aca="true" t="shared" si="0" ref="B19:B29">C19+D19+E19</f>
        <v>0</v>
      </c>
      <c r="C19" s="680"/>
      <c r="D19" s="680"/>
      <c r="E19" s="680"/>
      <c r="F19" s="796"/>
    </row>
    <row r="20" spans="1:6" ht="12.75">
      <c r="A20" s="658" t="s">
        <v>132</v>
      </c>
      <c r="B20" s="681">
        <v>34205052</v>
      </c>
      <c r="C20" s="682"/>
      <c r="D20" s="682">
        <v>34205052</v>
      </c>
      <c r="E20" s="682"/>
      <c r="F20" s="796"/>
    </row>
    <row r="21" spans="1:6" ht="12.75">
      <c r="A21" s="658" t="s">
        <v>144</v>
      </c>
      <c r="B21" s="681">
        <f t="shared" si="0"/>
        <v>0</v>
      </c>
      <c r="C21" s="682"/>
      <c r="D21" s="682"/>
      <c r="E21" s="682"/>
      <c r="F21" s="796"/>
    </row>
    <row r="22" spans="1:6" ht="12.75">
      <c r="A22" s="658" t="s">
        <v>133</v>
      </c>
      <c r="B22" s="681">
        <f t="shared" si="0"/>
        <v>0</v>
      </c>
      <c r="C22" s="682"/>
      <c r="D22" s="682"/>
      <c r="E22" s="682"/>
      <c r="F22" s="796"/>
    </row>
    <row r="23" spans="1:6" ht="13.5" thickBot="1">
      <c r="A23" s="658" t="s">
        <v>134</v>
      </c>
      <c r="B23" s="681">
        <f t="shared" si="0"/>
        <v>0</v>
      </c>
      <c r="C23" s="682"/>
      <c r="D23" s="682"/>
      <c r="E23" s="682"/>
      <c r="F23" s="796"/>
    </row>
    <row r="24" spans="1:6" ht="13.5" thickBot="1">
      <c r="A24" s="659" t="s">
        <v>135</v>
      </c>
      <c r="B24" s="683">
        <f>B18+SUM(B20:B23)</f>
        <v>40408978</v>
      </c>
      <c r="C24" s="684">
        <f>C18+SUM(C20:C23)</f>
        <v>0</v>
      </c>
      <c r="D24" s="684">
        <f>D18+SUM(D20:D23)</f>
        <v>40408978</v>
      </c>
      <c r="E24" s="685">
        <f>E18+SUM(E20:E23)</f>
        <v>0</v>
      </c>
      <c r="F24" s="796"/>
    </row>
    <row r="25" spans="1:6" ht="12.75">
      <c r="A25" s="660" t="s">
        <v>138</v>
      </c>
      <c r="B25" s="676">
        <f t="shared" si="0"/>
        <v>0</v>
      </c>
      <c r="C25" s="677"/>
      <c r="D25" s="677"/>
      <c r="E25" s="678"/>
      <c r="F25" s="796"/>
    </row>
    <row r="26" spans="1:6" ht="12.75">
      <c r="A26" s="661" t="s">
        <v>139</v>
      </c>
      <c r="B26" s="681">
        <v>40408978</v>
      </c>
      <c r="C26" s="682"/>
      <c r="D26" s="682">
        <v>40408978</v>
      </c>
      <c r="E26" s="682"/>
      <c r="F26" s="796"/>
    </row>
    <row r="27" spans="1:6" ht="12.75">
      <c r="A27" s="661" t="s">
        <v>140</v>
      </c>
      <c r="B27" s="681">
        <f t="shared" si="0"/>
        <v>0</v>
      </c>
      <c r="C27" s="682"/>
      <c r="D27" s="682"/>
      <c r="E27" s="682"/>
      <c r="F27" s="796"/>
    </row>
    <row r="28" spans="1:6" ht="12.75">
      <c r="A28" s="661" t="s">
        <v>141</v>
      </c>
      <c r="B28" s="681">
        <f t="shared" si="0"/>
        <v>0</v>
      </c>
      <c r="C28" s="682"/>
      <c r="D28" s="682"/>
      <c r="E28" s="682"/>
      <c r="F28" s="796"/>
    </row>
    <row r="29" spans="1:6" ht="13.5" thickBot="1">
      <c r="A29" s="662"/>
      <c r="B29" s="686">
        <f t="shared" si="0"/>
        <v>0</v>
      </c>
      <c r="C29" s="687"/>
      <c r="D29" s="687"/>
      <c r="E29" s="688"/>
      <c r="F29" s="796"/>
    </row>
    <row r="30" spans="1:6" ht="13.5" thickBot="1">
      <c r="A30" s="663" t="s">
        <v>109</v>
      </c>
      <c r="B30" s="683">
        <f>SUM(B25:B29)</f>
        <v>40408978</v>
      </c>
      <c r="C30" s="684">
        <f>SUM(C25:C29)</f>
        <v>0</v>
      </c>
      <c r="D30" s="684">
        <f>SUM(D25:D29)</f>
        <v>40408978</v>
      </c>
      <c r="E30" s="685">
        <f>SUM(E25:E29)</f>
        <v>0</v>
      </c>
      <c r="F30" s="796"/>
    </row>
    <row r="31" spans="1:6" ht="12.75" customHeight="1">
      <c r="A31" s="808" t="s">
        <v>674</v>
      </c>
      <c r="B31" s="808"/>
      <c r="C31" s="808"/>
      <c r="D31" s="808"/>
      <c r="E31" s="808"/>
      <c r="F31" s="796"/>
    </row>
    <row r="32" spans="1:6" ht="12.75">
      <c r="A32" s="666"/>
      <c r="B32" s="666"/>
      <c r="C32" s="666"/>
      <c r="D32" s="666"/>
      <c r="E32" s="666"/>
      <c r="F32" s="671"/>
    </row>
    <row r="33" spans="1:5" ht="24" customHeight="1">
      <c r="A33" s="781" t="s">
        <v>687</v>
      </c>
      <c r="B33" s="781"/>
      <c r="C33" s="781"/>
      <c r="D33" s="781"/>
      <c r="E33" s="781"/>
    </row>
    <row r="34" spans="1:5" ht="15.75" thickBot="1">
      <c r="A34" s="650"/>
      <c r="B34" s="650"/>
      <c r="C34" s="650"/>
      <c r="D34" s="650"/>
      <c r="E34" s="689" t="str">
        <f>$E$3</f>
        <v>Forintban!</v>
      </c>
    </row>
    <row r="35" spans="1:5" ht="13.5" thickBot="1">
      <c r="A35" s="783" t="s">
        <v>130</v>
      </c>
      <c r="B35" s="786" t="s">
        <v>668</v>
      </c>
      <c r="C35" s="787"/>
      <c r="D35" s="787"/>
      <c r="E35" s="788"/>
    </row>
    <row r="36" spans="1:5" ht="13.5" thickBot="1">
      <c r="A36" s="784"/>
      <c r="B36" s="789" t="s">
        <v>680</v>
      </c>
      <c r="C36" s="792" t="s">
        <v>669</v>
      </c>
      <c r="D36" s="793"/>
      <c r="E36" s="794"/>
    </row>
    <row r="37" spans="1:5" ht="12.75" customHeight="1">
      <c r="A37" s="784"/>
      <c r="B37" s="790"/>
      <c r="C37" s="789" t="str">
        <f>CONCATENATE(TARTALOMJEGYZÉK!$A$1,". előtti tervezett forrás, kiadás")</f>
        <v>2020. előtti tervezett forrás, kiadás</v>
      </c>
      <c r="D37" s="789" t="str">
        <f>CONCATENATE(TARTALOMJEGYZÉK!$A$1,". évi eredeti előirányzat")</f>
        <v>2020. évi eredeti előirányzat</v>
      </c>
      <c r="E37" s="789" t="str">
        <f>CONCATENATE(TARTALOMJEGYZÉK!$A$1,". év utáni tervezett forrás, kiadás")</f>
        <v>2020. év utáni tervezett forrás, kiadás</v>
      </c>
    </row>
    <row r="38" spans="1:5" ht="13.5" thickBot="1">
      <c r="A38" s="785"/>
      <c r="B38" s="791"/>
      <c r="C38" s="795"/>
      <c r="D38" s="795"/>
      <c r="E38" s="791"/>
    </row>
    <row r="39" spans="1:5" ht="13.5" thickBot="1">
      <c r="A39" s="651" t="s">
        <v>485</v>
      </c>
      <c r="B39" s="652" t="s">
        <v>670</v>
      </c>
      <c r="C39" s="653" t="s">
        <v>487</v>
      </c>
      <c r="D39" s="654" t="s">
        <v>489</v>
      </c>
      <c r="E39" s="655" t="s">
        <v>488</v>
      </c>
    </row>
    <row r="40" spans="1:5" ht="12.75">
      <c r="A40" s="656" t="s">
        <v>131</v>
      </c>
      <c r="B40" s="676">
        <v>4522081</v>
      </c>
      <c r="C40" s="677"/>
      <c r="D40" s="677">
        <v>4522081</v>
      </c>
      <c r="E40" s="678"/>
    </row>
    <row r="41" spans="1:5" ht="12.75">
      <c r="A41" s="657" t="s">
        <v>142</v>
      </c>
      <c r="B41" s="679">
        <f>C41+D41+E41</f>
        <v>0</v>
      </c>
      <c r="C41" s="680"/>
      <c r="D41" s="680"/>
      <c r="E41" s="680"/>
    </row>
    <row r="42" spans="1:5" ht="12.75">
      <c r="A42" s="658" t="s">
        <v>132</v>
      </c>
      <c r="B42" s="681">
        <v>25625086</v>
      </c>
      <c r="C42" s="682"/>
      <c r="D42" s="682">
        <v>25625086</v>
      </c>
      <c r="E42" s="682"/>
    </row>
    <row r="43" spans="1:5" ht="12.75">
      <c r="A43" s="658" t="s">
        <v>144</v>
      </c>
      <c r="B43" s="681">
        <f>C43+D43+E43</f>
        <v>0</v>
      </c>
      <c r="C43" s="682"/>
      <c r="D43" s="682"/>
      <c r="E43" s="682"/>
    </row>
    <row r="44" spans="1:5" ht="12.75">
      <c r="A44" s="658" t="s">
        <v>133</v>
      </c>
      <c r="B44" s="681">
        <f>C44+D44+E44</f>
        <v>0</v>
      </c>
      <c r="C44" s="682"/>
      <c r="D44" s="682"/>
      <c r="E44" s="682"/>
    </row>
    <row r="45" spans="1:5" ht="13.5" thickBot="1">
      <c r="A45" s="658" t="s">
        <v>134</v>
      </c>
      <c r="B45" s="681">
        <f>C45+D45+E45</f>
        <v>0</v>
      </c>
      <c r="C45" s="682"/>
      <c r="D45" s="682"/>
      <c r="E45" s="682"/>
    </row>
    <row r="46" spans="1:5" ht="13.5" thickBot="1">
      <c r="A46" s="659" t="s">
        <v>135</v>
      </c>
      <c r="B46" s="683">
        <f>B40+SUM(B42:B45)</f>
        <v>30147167</v>
      </c>
      <c r="C46" s="684">
        <f>C40+SUM(C42:C45)</f>
        <v>0</v>
      </c>
      <c r="D46" s="684">
        <f>D40+SUM(D42:D45)</f>
        <v>30147167</v>
      </c>
      <c r="E46" s="685">
        <f>E40+SUM(E42:E45)</f>
        <v>0</v>
      </c>
    </row>
    <row r="47" spans="1:5" ht="12.75">
      <c r="A47" s="660" t="s">
        <v>138</v>
      </c>
      <c r="B47" s="676">
        <f>C47+D47+E47</f>
        <v>0</v>
      </c>
      <c r="C47" s="677"/>
      <c r="D47" s="677"/>
      <c r="E47" s="678"/>
    </row>
    <row r="48" spans="1:5" ht="12.75">
      <c r="A48" s="661" t="s">
        <v>139</v>
      </c>
      <c r="B48" s="681">
        <v>30147167</v>
      </c>
      <c r="C48" s="682"/>
      <c r="D48" s="682">
        <v>30147167</v>
      </c>
      <c r="E48" s="682"/>
    </row>
    <row r="49" spans="1:5" ht="12.75">
      <c r="A49" s="661" t="s">
        <v>140</v>
      </c>
      <c r="B49" s="681">
        <f>C49+D49+E49</f>
        <v>0</v>
      </c>
      <c r="C49" s="682"/>
      <c r="D49" s="682"/>
      <c r="E49" s="682"/>
    </row>
    <row r="50" spans="1:5" ht="12.75">
      <c r="A50" s="661" t="s">
        <v>141</v>
      </c>
      <c r="B50" s="681">
        <f>C50+D50+E50</f>
        <v>0</v>
      </c>
      <c r="C50" s="682"/>
      <c r="D50" s="682"/>
      <c r="E50" s="682"/>
    </row>
    <row r="51" spans="1:5" ht="13.5" thickBot="1">
      <c r="A51" s="662"/>
      <c r="B51" s="686">
        <f>C51+D51+E51</f>
        <v>0</v>
      </c>
      <c r="C51" s="687"/>
      <c r="D51" s="687"/>
      <c r="E51" s="688"/>
    </row>
    <row r="52" spans="1:5" ht="13.5" thickBot="1">
      <c r="A52" s="663" t="s">
        <v>109</v>
      </c>
      <c r="B52" s="683">
        <f>SUM(B47:B51)</f>
        <v>30147167</v>
      </c>
      <c r="C52" s="684">
        <f>SUM(C47:C51)</f>
        <v>0</v>
      </c>
      <c r="D52" s="684">
        <f>SUM(D47:D51)</f>
        <v>30147167</v>
      </c>
      <c r="E52" s="685">
        <f>SUM(E47:E51)</f>
        <v>0</v>
      </c>
    </row>
    <row r="53" spans="1:5" ht="12.75">
      <c r="A53" s="154"/>
      <c r="B53" s="154"/>
      <c r="C53" s="154"/>
      <c r="D53" s="154"/>
      <c r="E53" s="154"/>
    </row>
    <row r="54" spans="1:5" ht="36" customHeight="1">
      <c r="A54" s="781" t="s">
        <v>688</v>
      </c>
      <c r="B54" s="781"/>
      <c r="C54" s="781"/>
      <c r="D54" s="781"/>
      <c r="E54" s="781"/>
    </row>
    <row r="55" spans="1:5" ht="15.75" thickBot="1">
      <c r="A55" s="650"/>
      <c r="B55" s="650"/>
      <c r="C55" s="650"/>
      <c r="D55" s="650"/>
      <c r="E55" s="689" t="str">
        <f>$E$3</f>
        <v>Forintban!</v>
      </c>
    </row>
    <row r="56" spans="1:5" ht="13.5" thickBot="1">
      <c r="A56" s="783" t="s">
        <v>130</v>
      </c>
      <c r="B56" s="786" t="s">
        <v>668</v>
      </c>
      <c r="C56" s="787"/>
      <c r="D56" s="787"/>
      <c r="E56" s="788"/>
    </row>
    <row r="57" spans="1:5" ht="13.5" thickBot="1">
      <c r="A57" s="784"/>
      <c r="B57" s="789" t="s">
        <v>680</v>
      </c>
      <c r="C57" s="792" t="s">
        <v>669</v>
      </c>
      <c r="D57" s="793"/>
      <c r="E57" s="794"/>
    </row>
    <row r="58" spans="1:5" ht="12.75">
      <c r="A58" s="784"/>
      <c r="B58" s="790"/>
      <c r="C58" s="789" t="str">
        <f>CONCATENATE(TARTALOMJEGYZÉK!$A$1,". előtti tervezett forrás, kiadás")</f>
        <v>2020. előtti tervezett forrás, kiadás</v>
      </c>
      <c r="D58" s="789" t="str">
        <f>CONCATENATE(TARTALOMJEGYZÉK!$A$1,". évi eredeti előirányzat")</f>
        <v>2020. évi eredeti előirányzat</v>
      </c>
      <c r="E58" s="789" t="str">
        <f>CONCATENATE(TARTALOMJEGYZÉK!$A$1,". év utáni tervezett forrás, kiadás")</f>
        <v>2020. év utáni tervezett forrás, kiadás</v>
      </c>
    </row>
    <row r="59" spans="1:5" ht="13.5" thickBot="1">
      <c r="A59" s="785"/>
      <c r="B59" s="791"/>
      <c r="C59" s="795"/>
      <c r="D59" s="795"/>
      <c r="E59" s="791"/>
    </row>
    <row r="60" spans="1:5" ht="13.5" thickBot="1">
      <c r="A60" s="651" t="s">
        <v>485</v>
      </c>
      <c r="B60" s="652" t="s">
        <v>670</v>
      </c>
      <c r="C60" s="653" t="s">
        <v>487</v>
      </c>
      <c r="D60" s="654" t="s">
        <v>489</v>
      </c>
      <c r="E60" s="655" t="s">
        <v>488</v>
      </c>
    </row>
    <row r="61" spans="1:5" ht="12.75">
      <c r="A61" s="656" t="s">
        <v>131</v>
      </c>
      <c r="B61" s="676">
        <f aca="true" t="shared" si="1" ref="B61:B66">C61+D61+E61</f>
        <v>0</v>
      </c>
      <c r="C61" s="677"/>
      <c r="D61" s="677"/>
      <c r="E61" s="678"/>
    </row>
    <row r="62" spans="1:5" ht="12.75">
      <c r="A62" s="657" t="s">
        <v>142</v>
      </c>
      <c r="B62" s="679">
        <f t="shared" si="1"/>
        <v>0</v>
      </c>
      <c r="C62" s="680"/>
      <c r="D62" s="680"/>
      <c r="E62" s="680"/>
    </row>
    <row r="63" spans="1:5" ht="12.75">
      <c r="A63" s="658" t="s">
        <v>132</v>
      </c>
      <c r="B63" s="681">
        <v>28575000</v>
      </c>
      <c r="C63" s="682"/>
      <c r="D63" s="682">
        <v>28575000</v>
      </c>
      <c r="E63" s="682"/>
    </row>
    <row r="64" spans="1:5" ht="12.75">
      <c r="A64" s="658" t="s">
        <v>144</v>
      </c>
      <c r="B64" s="681">
        <f t="shared" si="1"/>
        <v>0</v>
      </c>
      <c r="C64" s="682"/>
      <c r="D64" s="682"/>
      <c r="E64" s="682"/>
    </row>
    <row r="65" spans="1:5" ht="12.75">
      <c r="A65" s="658" t="s">
        <v>133</v>
      </c>
      <c r="B65" s="681">
        <f t="shared" si="1"/>
        <v>0</v>
      </c>
      <c r="C65" s="682"/>
      <c r="D65" s="682"/>
      <c r="E65" s="682"/>
    </row>
    <row r="66" spans="1:5" ht="13.5" thickBot="1">
      <c r="A66" s="658" t="s">
        <v>134</v>
      </c>
      <c r="B66" s="681">
        <f t="shared" si="1"/>
        <v>0</v>
      </c>
      <c r="C66" s="682"/>
      <c r="D66" s="682"/>
      <c r="E66" s="682"/>
    </row>
    <row r="67" spans="1:5" ht="13.5" thickBot="1">
      <c r="A67" s="659" t="s">
        <v>135</v>
      </c>
      <c r="B67" s="683">
        <f>B61+SUM(B63:B66)</f>
        <v>28575000</v>
      </c>
      <c r="C67" s="684">
        <f>C61+SUM(C63:C66)</f>
        <v>0</v>
      </c>
      <c r="D67" s="684">
        <f>D61+SUM(D63:D66)</f>
        <v>28575000</v>
      </c>
      <c r="E67" s="685">
        <f>E61+SUM(E63:E66)</f>
        <v>0</v>
      </c>
    </row>
    <row r="68" spans="1:5" ht="12.75">
      <c r="A68" s="660" t="s">
        <v>138</v>
      </c>
      <c r="B68" s="676">
        <f>C68+D68+E68</f>
        <v>0</v>
      </c>
      <c r="C68" s="677"/>
      <c r="D68" s="677"/>
      <c r="E68" s="678"/>
    </row>
    <row r="69" spans="1:5" ht="12.75">
      <c r="A69" s="661" t="s">
        <v>139</v>
      </c>
      <c r="B69" s="681">
        <v>28575000</v>
      </c>
      <c r="C69" s="682"/>
      <c r="D69" s="682">
        <v>28575000</v>
      </c>
      <c r="E69" s="682"/>
    </row>
    <row r="70" spans="1:5" ht="12.75">
      <c r="A70" s="661" t="s">
        <v>140</v>
      </c>
      <c r="B70" s="681">
        <f>C70+D70+E70</f>
        <v>0</v>
      </c>
      <c r="C70" s="682"/>
      <c r="D70" s="682"/>
      <c r="E70" s="682"/>
    </row>
    <row r="71" spans="1:5" ht="12.75">
      <c r="A71" s="661" t="s">
        <v>141</v>
      </c>
      <c r="B71" s="681">
        <f>C71+D71+E71</f>
        <v>0</v>
      </c>
      <c r="C71" s="682"/>
      <c r="D71" s="682"/>
      <c r="E71" s="682"/>
    </row>
    <row r="72" spans="1:5" ht="13.5" thickBot="1">
      <c r="A72" s="662"/>
      <c r="B72" s="686">
        <f>C72+D72+E72</f>
        <v>0</v>
      </c>
      <c r="C72" s="687"/>
      <c r="D72" s="687"/>
      <c r="E72" s="688"/>
    </row>
    <row r="73" spans="1:5" ht="13.5" thickBot="1">
      <c r="A73" s="663" t="s">
        <v>109</v>
      </c>
      <c r="B73" s="683">
        <f>SUM(B68:B72)</f>
        <v>28575000</v>
      </c>
      <c r="C73" s="684">
        <f>SUM(C68:C72)</f>
        <v>0</v>
      </c>
      <c r="D73" s="684">
        <f>SUM(D68:D72)</f>
        <v>28575000</v>
      </c>
      <c r="E73" s="685">
        <f>SUM(E68:E72)</f>
        <v>0</v>
      </c>
    </row>
    <row r="74" spans="1:5" ht="12.75">
      <c r="A74" s="154"/>
      <c r="B74" s="154"/>
      <c r="C74" s="154"/>
      <c r="D74" s="154"/>
      <c r="E74" s="154"/>
    </row>
    <row r="75" spans="1:5" ht="14.25">
      <c r="A75" s="781" t="s">
        <v>689</v>
      </c>
      <c r="B75" s="781"/>
      <c r="C75" s="781"/>
      <c r="D75" s="781"/>
      <c r="E75" s="781"/>
    </row>
    <row r="76" spans="1:5" ht="15.75" thickBot="1">
      <c r="A76" s="650"/>
      <c r="B76" s="650"/>
      <c r="C76" s="650"/>
      <c r="D76" s="650"/>
      <c r="E76" s="689" t="str">
        <f>$E$3</f>
        <v>Forintban!</v>
      </c>
    </row>
    <row r="77" spans="1:5" ht="13.5" thickBot="1">
      <c r="A77" s="783" t="s">
        <v>130</v>
      </c>
      <c r="B77" s="786" t="s">
        <v>668</v>
      </c>
      <c r="C77" s="787"/>
      <c r="D77" s="787"/>
      <c r="E77" s="788"/>
    </row>
    <row r="78" spans="1:5" ht="13.5" thickBot="1">
      <c r="A78" s="784"/>
      <c r="B78" s="789" t="s">
        <v>680</v>
      </c>
      <c r="C78" s="792" t="s">
        <v>669</v>
      </c>
      <c r="D78" s="793"/>
      <c r="E78" s="794"/>
    </row>
    <row r="79" spans="1:5" ht="12.75">
      <c r="A79" s="784"/>
      <c r="B79" s="790"/>
      <c r="C79" s="789" t="str">
        <f>CONCATENATE(TARTALOMJEGYZÉK!$A$1,". előtti tervezett forrás, kiadás")</f>
        <v>2020. előtti tervezett forrás, kiadás</v>
      </c>
      <c r="D79" s="789" t="str">
        <f>CONCATENATE(TARTALOMJEGYZÉK!$A$1,". évi eredeti előirányzat")</f>
        <v>2020. évi eredeti előirányzat</v>
      </c>
      <c r="E79" s="789" t="str">
        <f>CONCATENATE(TARTALOMJEGYZÉK!$A$1,". év utáni tervezett forrás, kiadás")</f>
        <v>2020. év utáni tervezett forrás, kiadás</v>
      </c>
    </row>
    <row r="80" spans="1:5" ht="13.5" thickBot="1">
      <c r="A80" s="785"/>
      <c r="B80" s="791"/>
      <c r="C80" s="795"/>
      <c r="D80" s="795"/>
      <c r="E80" s="791"/>
    </row>
    <row r="81" spans="1:5" ht="13.5" thickBot="1">
      <c r="A81" s="651" t="s">
        <v>485</v>
      </c>
      <c r="B81" s="652" t="s">
        <v>670</v>
      </c>
      <c r="C81" s="653" t="s">
        <v>487</v>
      </c>
      <c r="D81" s="654" t="s">
        <v>489</v>
      </c>
      <c r="E81" s="655" t="s">
        <v>488</v>
      </c>
    </row>
    <row r="82" spans="1:5" ht="12.75">
      <c r="A82" s="656" t="s">
        <v>131</v>
      </c>
      <c r="B82" s="676">
        <f aca="true" t="shared" si="2" ref="B82:B87">C82+D82+E82</f>
        <v>0</v>
      </c>
      <c r="C82" s="677"/>
      <c r="D82" s="677"/>
      <c r="E82" s="678"/>
    </row>
    <row r="83" spans="1:5" ht="12.75">
      <c r="A83" s="657" t="s">
        <v>142</v>
      </c>
      <c r="B83" s="679">
        <f t="shared" si="2"/>
        <v>0</v>
      </c>
      <c r="C83" s="680"/>
      <c r="D83" s="680"/>
      <c r="E83" s="680"/>
    </row>
    <row r="84" spans="1:5" ht="12.75">
      <c r="A84" s="658" t="s">
        <v>132</v>
      </c>
      <c r="B84" s="681">
        <v>4999990</v>
      </c>
      <c r="C84" s="682"/>
      <c r="D84" s="682">
        <v>4999990</v>
      </c>
      <c r="E84" s="682"/>
    </row>
    <row r="85" spans="1:5" ht="12.75">
      <c r="A85" s="658" t="s">
        <v>144</v>
      </c>
      <c r="B85" s="681">
        <f t="shared" si="2"/>
        <v>0</v>
      </c>
      <c r="C85" s="682"/>
      <c r="D85" s="682"/>
      <c r="E85" s="682"/>
    </row>
    <row r="86" spans="1:5" ht="12.75">
      <c r="A86" s="658" t="s">
        <v>133</v>
      </c>
      <c r="B86" s="681">
        <f t="shared" si="2"/>
        <v>0</v>
      </c>
      <c r="C86" s="682"/>
      <c r="D86" s="682"/>
      <c r="E86" s="682"/>
    </row>
    <row r="87" spans="1:5" ht="13.5" thickBot="1">
      <c r="A87" s="658" t="s">
        <v>134</v>
      </c>
      <c r="B87" s="681">
        <f t="shared" si="2"/>
        <v>0</v>
      </c>
      <c r="C87" s="682"/>
      <c r="D87" s="682"/>
      <c r="E87" s="682"/>
    </row>
    <row r="88" spans="1:5" ht="13.5" thickBot="1">
      <c r="A88" s="659" t="s">
        <v>135</v>
      </c>
      <c r="B88" s="683">
        <f>B82+SUM(B84:B87)</f>
        <v>4999990</v>
      </c>
      <c r="C88" s="684">
        <f>C82+SUM(C84:C87)</f>
        <v>0</v>
      </c>
      <c r="D88" s="684">
        <f>D82+SUM(D84:D87)</f>
        <v>4999990</v>
      </c>
      <c r="E88" s="685">
        <f>E82+SUM(E84:E87)</f>
        <v>0</v>
      </c>
    </row>
    <row r="89" spans="1:5" ht="12.75">
      <c r="A89" s="660" t="s">
        <v>138</v>
      </c>
      <c r="B89" s="676">
        <f>C89+D89+E89</f>
        <v>0</v>
      </c>
      <c r="C89" s="677"/>
      <c r="D89" s="677"/>
      <c r="E89" s="678"/>
    </row>
    <row r="90" spans="1:5" ht="12.75">
      <c r="A90" s="661" t="s">
        <v>139</v>
      </c>
      <c r="B90" s="681">
        <v>4999990</v>
      </c>
      <c r="C90" s="682"/>
      <c r="D90" s="682">
        <v>4999990</v>
      </c>
      <c r="E90" s="682"/>
    </row>
    <row r="91" spans="1:5" ht="12.75">
      <c r="A91" s="661" t="s">
        <v>140</v>
      </c>
      <c r="B91" s="681">
        <f>C91+D91+E91</f>
        <v>0</v>
      </c>
      <c r="C91" s="682"/>
      <c r="D91" s="682"/>
      <c r="E91" s="682"/>
    </row>
    <row r="92" spans="1:5" ht="12.75">
      <c r="A92" s="661" t="s">
        <v>141</v>
      </c>
      <c r="B92" s="681">
        <f>C92+D92+E92</f>
        <v>0</v>
      </c>
      <c r="C92" s="682"/>
      <c r="D92" s="682"/>
      <c r="E92" s="682"/>
    </row>
    <row r="93" spans="1:5" ht="13.5" thickBot="1">
      <c r="A93" s="662"/>
      <c r="B93" s="686">
        <f>C93+D93+E93</f>
        <v>0</v>
      </c>
      <c r="C93" s="687"/>
      <c r="D93" s="687"/>
      <c r="E93" s="688"/>
    </row>
    <row r="94" spans="1:5" ht="13.5" thickBot="1">
      <c r="A94" s="663" t="s">
        <v>109</v>
      </c>
      <c r="B94" s="683">
        <f>SUM(B89:B93)</f>
        <v>4999990</v>
      </c>
      <c r="C94" s="684">
        <f>SUM(C89:C93)</f>
        <v>0</v>
      </c>
      <c r="D94" s="684">
        <f>SUM(D89:D93)</f>
        <v>4999990</v>
      </c>
      <c r="E94" s="685">
        <f>SUM(E89:E93)</f>
        <v>0</v>
      </c>
    </row>
    <row r="95" spans="1:5" ht="12.75">
      <c r="A95" s="154"/>
      <c r="B95" s="154"/>
      <c r="C95" s="154"/>
      <c r="D95" s="154"/>
      <c r="E95" s="154"/>
    </row>
    <row r="96" spans="1:5" ht="14.25">
      <c r="A96" s="781" t="s">
        <v>673</v>
      </c>
      <c r="B96" s="781"/>
      <c r="C96" s="782"/>
      <c r="D96" s="782"/>
      <c r="E96" s="782"/>
    </row>
    <row r="97" spans="1:5" ht="15.75" thickBot="1">
      <c r="A97" s="650"/>
      <c r="B97" s="650"/>
      <c r="C97" s="650"/>
      <c r="D97" s="650"/>
      <c r="E97" s="689" t="str">
        <f>$E$3</f>
        <v>Forintban!</v>
      </c>
    </row>
    <row r="98" spans="1:5" ht="13.5" thickBot="1">
      <c r="A98" s="783" t="s">
        <v>130</v>
      </c>
      <c r="B98" s="786" t="s">
        <v>668</v>
      </c>
      <c r="C98" s="787"/>
      <c r="D98" s="787"/>
      <c r="E98" s="788"/>
    </row>
    <row r="99" spans="1:5" ht="13.5" thickBot="1">
      <c r="A99" s="784"/>
      <c r="B99" s="789" t="s">
        <v>680</v>
      </c>
      <c r="C99" s="792" t="s">
        <v>669</v>
      </c>
      <c r="D99" s="793"/>
      <c r="E99" s="794"/>
    </row>
    <row r="100" spans="1:5" ht="12.75">
      <c r="A100" s="784"/>
      <c r="B100" s="790"/>
      <c r="C100" s="789" t="str">
        <f>CONCATENATE(TARTALOMJEGYZÉK!$A$1,". előtti tervezett forrás, kiadás")</f>
        <v>2020. előtti tervezett forrás, kiadás</v>
      </c>
      <c r="D100" s="789" t="str">
        <f>CONCATENATE(TARTALOMJEGYZÉK!$A$1,". évi eredeti előirányzat")</f>
        <v>2020. évi eredeti előirányzat</v>
      </c>
      <c r="E100" s="789" t="str">
        <f>CONCATENATE(TARTALOMJEGYZÉK!$A$1,". év utáni tervezett forrás, kiadás")</f>
        <v>2020. év utáni tervezett forrás, kiadás</v>
      </c>
    </row>
    <row r="101" spans="1:5" ht="13.5" thickBot="1">
      <c r="A101" s="785"/>
      <c r="B101" s="791"/>
      <c r="C101" s="795"/>
      <c r="D101" s="795"/>
      <c r="E101" s="791"/>
    </row>
    <row r="102" spans="1:5" ht="13.5" thickBot="1">
      <c r="A102" s="651" t="s">
        <v>485</v>
      </c>
      <c r="B102" s="652" t="s">
        <v>670</v>
      </c>
      <c r="C102" s="653" t="s">
        <v>487</v>
      </c>
      <c r="D102" s="654" t="s">
        <v>489</v>
      </c>
      <c r="E102" s="655" t="s">
        <v>488</v>
      </c>
    </row>
    <row r="103" spans="1:5" ht="12.75">
      <c r="A103" s="656" t="s">
        <v>131</v>
      </c>
      <c r="B103" s="676">
        <f aca="true" t="shared" si="3" ref="B103:B108">C103+D103+E103</f>
        <v>0</v>
      </c>
      <c r="C103" s="677"/>
      <c r="D103" s="677"/>
      <c r="E103" s="678"/>
    </row>
    <row r="104" spans="1:5" ht="12.75">
      <c r="A104" s="657" t="s">
        <v>142</v>
      </c>
      <c r="B104" s="679">
        <f t="shared" si="3"/>
        <v>0</v>
      </c>
      <c r="C104" s="680"/>
      <c r="D104" s="680"/>
      <c r="E104" s="680"/>
    </row>
    <row r="105" spans="1:5" ht="12.75">
      <c r="A105" s="658" t="s">
        <v>132</v>
      </c>
      <c r="B105" s="681">
        <f t="shared" si="3"/>
        <v>0</v>
      </c>
      <c r="C105" s="682"/>
      <c r="D105" s="682"/>
      <c r="E105" s="682"/>
    </row>
    <row r="106" spans="1:5" ht="12.75">
      <c r="A106" s="658" t="s">
        <v>144</v>
      </c>
      <c r="B106" s="681">
        <f t="shared" si="3"/>
        <v>0</v>
      </c>
      <c r="C106" s="682"/>
      <c r="D106" s="682"/>
      <c r="E106" s="682"/>
    </row>
    <row r="107" spans="1:5" ht="12.75">
      <c r="A107" s="658" t="s">
        <v>133</v>
      </c>
      <c r="B107" s="681">
        <f t="shared" si="3"/>
        <v>0</v>
      </c>
      <c r="C107" s="682"/>
      <c r="D107" s="682"/>
      <c r="E107" s="682"/>
    </row>
    <row r="108" spans="1:5" ht="13.5" thickBot="1">
      <c r="A108" s="658" t="s">
        <v>134</v>
      </c>
      <c r="B108" s="681">
        <f t="shared" si="3"/>
        <v>0</v>
      </c>
      <c r="C108" s="682"/>
      <c r="D108" s="682"/>
      <c r="E108" s="682"/>
    </row>
    <row r="109" spans="1:5" ht="13.5" thickBot="1">
      <c r="A109" s="659" t="s">
        <v>135</v>
      </c>
      <c r="B109" s="683">
        <f>B103+SUM(B105:B108)</f>
        <v>0</v>
      </c>
      <c r="C109" s="684">
        <f>C103+SUM(C105:C108)</f>
        <v>0</v>
      </c>
      <c r="D109" s="684">
        <f>D103+SUM(D105:D108)</f>
        <v>0</v>
      </c>
      <c r="E109" s="685">
        <f>E103+SUM(E105:E108)</f>
        <v>0</v>
      </c>
    </row>
    <row r="110" spans="1:5" ht="12.75">
      <c r="A110" s="660" t="s">
        <v>138</v>
      </c>
      <c r="B110" s="676">
        <f>C110+D110+E110</f>
        <v>0</v>
      </c>
      <c r="C110" s="677"/>
      <c r="D110" s="677"/>
      <c r="E110" s="678"/>
    </row>
    <row r="111" spans="1:5" ht="12.75">
      <c r="A111" s="661" t="s">
        <v>139</v>
      </c>
      <c r="B111" s="681">
        <f>C111+D111+E111</f>
        <v>0</v>
      </c>
      <c r="C111" s="682"/>
      <c r="D111" s="682"/>
      <c r="E111" s="682"/>
    </row>
    <row r="112" spans="1:5" ht="12.75">
      <c r="A112" s="661" t="s">
        <v>140</v>
      </c>
      <c r="B112" s="681">
        <f>C112+D112+E112</f>
        <v>0</v>
      </c>
      <c r="C112" s="682"/>
      <c r="D112" s="682"/>
      <c r="E112" s="682"/>
    </row>
    <row r="113" spans="1:5" ht="12.75">
      <c r="A113" s="661" t="s">
        <v>141</v>
      </c>
      <c r="B113" s="681">
        <f>C113+D113+E113</f>
        <v>0</v>
      </c>
      <c r="C113" s="682"/>
      <c r="D113" s="682"/>
      <c r="E113" s="682"/>
    </row>
    <row r="114" spans="1:5" ht="13.5" thickBot="1">
      <c r="A114" s="662"/>
      <c r="B114" s="686">
        <f>C114+D114+E114</f>
        <v>0</v>
      </c>
      <c r="C114" s="687"/>
      <c r="D114" s="687"/>
      <c r="E114" s="688"/>
    </row>
    <row r="115" spans="1:5" ht="13.5" thickBot="1">
      <c r="A115" s="663" t="s">
        <v>109</v>
      </c>
      <c r="B115" s="683">
        <f>SUM(B110:B114)</f>
        <v>0</v>
      </c>
      <c r="C115" s="684">
        <f>SUM(C110:C114)</f>
        <v>0</v>
      </c>
      <c r="D115" s="684">
        <f>SUM(D110:D114)</f>
        <v>0</v>
      </c>
      <c r="E115" s="685">
        <f>SUM(E110:E114)</f>
        <v>0</v>
      </c>
    </row>
    <row r="117" spans="1:5" ht="14.25">
      <c r="A117" s="781" t="s">
        <v>673</v>
      </c>
      <c r="B117" s="781"/>
      <c r="C117" s="782"/>
      <c r="D117" s="782"/>
      <c r="E117" s="782"/>
    </row>
    <row r="118" spans="1:5" ht="15.75" thickBot="1">
      <c r="A118" s="650"/>
      <c r="B118" s="650"/>
      <c r="C118" s="650"/>
      <c r="D118" s="650"/>
      <c r="E118" s="689" t="str">
        <f>$E$3</f>
        <v>Forintban!</v>
      </c>
    </row>
    <row r="119" spans="1:5" ht="13.5" thickBot="1">
      <c r="A119" s="783" t="s">
        <v>130</v>
      </c>
      <c r="B119" s="786" t="s">
        <v>668</v>
      </c>
      <c r="C119" s="787"/>
      <c r="D119" s="787"/>
      <c r="E119" s="788"/>
    </row>
    <row r="120" spans="1:5" ht="13.5" thickBot="1">
      <c r="A120" s="784"/>
      <c r="B120" s="789" t="s">
        <v>680</v>
      </c>
      <c r="C120" s="792" t="s">
        <v>669</v>
      </c>
      <c r="D120" s="793"/>
      <c r="E120" s="794"/>
    </row>
    <row r="121" spans="1:5" ht="12.75">
      <c r="A121" s="784"/>
      <c r="B121" s="790"/>
      <c r="C121" s="789" t="str">
        <f>CONCATENATE(TARTALOMJEGYZÉK!$A$1,". előtti tervezett forrás, kiadás")</f>
        <v>2020. előtti tervezett forrás, kiadás</v>
      </c>
      <c r="D121" s="789" t="str">
        <f>CONCATENATE(TARTALOMJEGYZÉK!$A$1,". évi eredeti előirányzat")</f>
        <v>2020. évi eredeti előirányzat</v>
      </c>
      <c r="E121" s="789" t="str">
        <f>CONCATENATE(TARTALOMJEGYZÉK!$A$1,". év utáni tervezett forrás, kiadás")</f>
        <v>2020. év utáni tervezett forrás, kiadás</v>
      </c>
    </row>
    <row r="122" spans="1:5" ht="13.5" thickBot="1">
      <c r="A122" s="785"/>
      <c r="B122" s="791"/>
      <c r="C122" s="795"/>
      <c r="D122" s="795"/>
      <c r="E122" s="791"/>
    </row>
    <row r="123" spans="1:5" ht="13.5" thickBot="1">
      <c r="A123" s="651" t="s">
        <v>485</v>
      </c>
      <c r="B123" s="652" t="s">
        <v>670</v>
      </c>
      <c r="C123" s="653" t="s">
        <v>487</v>
      </c>
      <c r="D123" s="654" t="s">
        <v>489</v>
      </c>
      <c r="E123" s="655" t="s">
        <v>488</v>
      </c>
    </row>
    <row r="124" spans="1:5" ht="12.75">
      <c r="A124" s="656" t="s">
        <v>131</v>
      </c>
      <c r="B124" s="676">
        <f aca="true" t="shared" si="4" ref="B124:B129">C124+D124+E124</f>
        <v>0</v>
      </c>
      <c r="C124" s="677"/>
      <c r="D124" s="677"/>
      <c r="E124" s="678"/>
    </row>
    <row r="125" spans="1:5" ht="12.75">
      <c r="A125" s="657" t="s">
        <v>142</v>
      </c>
      <c r="B125" s="679">
        <f t="shared" si="4"/>
        <v>0</v>
      </c>
      <c r="C125" s="680"/>
      <c r="D125" s="680"/>
      <c r="E125" s="680"/>
    </row>
    <row r="126" spans="1:5" ht="12.75">
      <c r="A126" s="658" t="s">
        <v>132</v>
      </c>
      <c r="B126" s="681">
        <f t="shared" si="4"/>
        <v>0</v>
      </c>
      <c r="C126" s="682"/>
      <c r="D126" s="682"/>
      <c r="E126" s="682"/>
    </row>
    <row r="127" spans="1:5" ht="12.75">
      <c r="A127" s="658" t="s">
        <v>144</v>
      </c>
      <c r="B127" s="681">
        <f t="shared" si="4"/>
        <v>0</v>
      </c>
      <c r="C127" s="682"/>
      <c r="D127" s="682"/>
      <c r="E127" s="682"/>
    </row>
    <row r="128" spans="1:5" ht="12.75">
      <c r="A128" s="658" t="s">
        <v>133</v>
      </c>
      <c r="B128" s="681">
        <f t="shared" si="4"/>
        <v>0</v>
      </c>
      <c r="C128" s="682"/>
      <c r="D128" s="682"/>
      <c r="E128" s="682"/>
    </row>
    <row r="129" spans="1:5" ht="13.5" thickBot="1">
      <c r="A129" s="658" t="s">
        <v>134</v>
      </c>
      <c r="B129" s="681">
        <f t="shared" si="4"/>
        <v>0</v>
      </c>
      <c r="C129" s="682"/>
      <c r="D129" s="682"/>
      <c r="E129" s="682"/>
    </row>
    <row r="130" spans="1:5" ht="13.5" thickBot="1">
      <c r="A130" s="659" t="s">
        <v>135</v>
      </c>
      <c r="B130" s="683">
        <f>B124+SUM(B126:B129)</f>
        <v>0</v>
      </c>
      <c r="C130" s="684">
        <f>C124+SUM(C126:C129)</f>
        <v>0</v>
      </c>
      <c r="D130" s="684">
        <f>D124+SUM(D126:D129)</f>
        <v>0</v>
      </c>
      <c r="E130" s="685">
        <f>E124+SUM(E126:E129)</f>
        <v>0</v>
      </c>
    </row>
    <row r="131" spans="1:5" ht="12.75">
      <c r="A131" s="660" t="s">
        <v>138</v>
      </c>
      <c r="B131" s="676">
        <f>C131+D131+E131</f>
        <v>0</v>
      </c>
      <c r="C131" s="677"/>
      <c r="D131" s="677"/>
      <c r="E131" s="678"/>
    </row>
    <row r="132" spans="1:5" ht="12.75">
      <c r="A132" s="661" t="s">
        <v>139</v>
      </c>
      <c r="B132" s="681">
        <f>C132+D132+E132</f>
        <v>0</v>
      </c>
      <c r="C132" s="682"/>
      <c r="D132" s="682"/>
      <c r="E132" s="682"/>
    </row>
    <row r="133" spans="1:5" ht="12.75">
      <c r="A133" s="661" t="s">
        <v>140</v>
      </c>
      <c r="B133" s="681">
        <f>C133+D133+E133</f>
        <v>0</v>
      </c>
      <c r="C133" s="682"/>
      <c r="D133" s="682"/>
      <c r="E133" s="682"/>
    </row>
    <row r="134" spans="1:5" ht="12.75">
      <c r="A134" s="661" t="s">
        <v>141</v>
      </c>
      <c r="B134" s="681">
        <f>C134+D134+E134</f>
        <v>0</v>
      </c>
      <c r="C134" s="682"/>
      <c r="D134" s="682"/>
      <c r="E134" s="682"/>
    </row>
    <row r="135" spans="1:5" ht="13.5" thickBot="1">
      <c r="A135" s="662"/>
      <c r="B135" s="686">
        <f>C135+D135+E135</f>
        <v>0</v>
      </c>
      <c r="C135" s="687"/>
      <c r="D135" s="687"/>
      <c r="E135" s="688"/>
    </row>
    <row r="136" spans="1:5" ht="13.5" thickBot="1">
      <c r="A136" s="663" t="s">
        <v>109</v>
      </c>
      <c r="B136" s="683">
        <f>SUM(B131:B135)</f>
        <v>0</v>
      </c>
      <c r="C136" s="684">
        <f>SUM(C131:C135)</f>
        <v>0</v>
      </c>
      <c r="D136" s="684">
        <f>SUM(D131:D135)</f>
        <v>0</v>
      </c>
      <c r="E136" s="685">
        <f>SUM(E131:E135)</f>
        <v>0</v>
      </c>
    </row>
    <row r="138" spans="1:5" ht="14.25">
      <c r="A138" s="781" t="s">
        <v>673</v>
      </c>
      <c r="B138" s="781"/>
      <c r="C138" s="782"/>
      <c r="D138" s="782"/>
      <c r="E138" s="782"/>
    </row>
    <row r="139" spans="1:5" ht="15.75" thickBot="1">
      <c r="A139" s="650"/>
      <c r="B139" s="650"/>
      <c r="C139" s="650"/>
      <c r="D139" s="650"/>
      <c r="E139" s="689" t="str">
        <f>$E$3</f>
        <v>Forintban!</v>
      </c>
    </row>
    <row r="140" spans="1:5" ht="13.5" thickBot="1">
      <c r="A140" s="783" t="s">
        <v>130</v>
      </c>
      <c r="B140" s="786" t="s">
        <v>668</v>
      </c>
      <c r="C140" s="787"/>
      <c r="D140" s="787"/>
      <c r="E140" s="788"/>
    </row>
    <row r="141" spans="1:5" ht="13.5" thickBot="1">
      <c r="A141" s="784"/>
      <c r="B141" s="789" t="s">
        <v>680</v>
      </c>
      <c r="C141" s="792" t="s">
        <v>669</v>
      </c>
      <c r="D141" s="793"/>
      <c r="E141" s="794"/>
    </row>
    <row r="142" spans="1:5" ht="12.75">
      <c r="A142" s="784"/>
      <c r="B142" s="790"/>
      <c r="C142" s="789" t="str">
        <f>CONCATENATE(TARTALOMJEGYZÉK!$A$1,". előtti tervezett forrás, kiadás")</f>
        <v>2020. előtti tervezett forrás, kiadás</v>
      </c>
      <c r="D142" s="789" t="str">
        <f>CONCATENATE(TARTALOMJEGYZÉK!$A$1,". évi eredeti előirányzat")</f>
        <v>2020. évi eredeti előirányzat</v>
      </c>
      <c r="E142" s="789" t="str">
        <f>CONCATENATE(TARTALOMJEGYZÉK!$A$1,". év utáni tervezett forrás, kiadás")</f>
        <v>2020. év utáni tervezett forrás, kiadás</v>
      </c>
    </row>
    <row r="143" spans="1:5" ht="13.5" thickBot="1">
      <c r="A143" s="785"/>
      <c r="B143" s="791"/>
      <c r="C143" s="795"/>
      <c r="D143" s="795"/>
      <c r="E143" s="791"/>
    </row>
    <row r="144" spans="1:5" ht="13.5" thickBot="1">
      <c r="A144" s="651" t="s">
        <v>485</v>
      </c>
      <c r="B144" s="652" t="s">
        <v>670</v>
      </c>
      <c r="C144" s="653" t="s">
        <v>487</v>
      </c>
      <c r="D144" s="654" t="s">
        <v>489</v>
      </c>
      <c r="E144" s="655" t="s">
        <v>488</v>
      </c>
    </row>
    <row r="145" spans="1:5" ht="12.75">
      <c r="A145" s="656" t="s">
        <v>131</v>
      </c>
      <c r="B145" s="676">
        <f aca="true" t="shared" si="5" ref="B145:B150">C145+D145+E145</f>
        <v>0</v>
      </c>
      <c r="C145" s="677"/>
      <c r="D145" s="677"/>
      <c r="E145" s="678"/>
    </row>
    <row r="146" spans="1:5" ht="12.75">
      <c r="A146" s="657" t="s">
        <v>142</v>
      </c>
      <c r="B146" s="679">
        <f t="shared" si="5"/>
        <v>0</v>
      </c>
      <c r="C146" s="680"/>
      <c r="D146" s="680"/>
      <c r="E146" s="680"/>
    </row>
    <row r="147" spans="1:5" ht="12.75">
      <c r="A147" s="658" t="s">
        <v>132</v>
      </c>
      <c r="B147" s="681">
        <f t="shared" si="5"/>
        <v>0</v>
      </c>
      <c r="C147" s="682"/>
      <c r="D147" s="682"/>
      <c r="E147" s="682"/>
    </row>
    <row r="148" spans="1:5" ht="12.75">
      <c r="A148" s="658" t="s">
        <v>144</v>
      </c>
      <c r="B148" s="681">
        <f t="shared" si="5"/>
        <v>0</v>
      </c>
      <c r="C148" s="682"/>
      <c r="D148" s="682"/>
      <c r="E148" s="682"/>
    </row>
    <row r="149" spans="1:5" ht="12.75">
      <c r="A149" s="658" t="s">
        <v>133</v>
      </c>
      <c r="B149" s="681">
        <f t="shared" si="5"/>
        <v>0</v>
      </c>
      <c r="C149" s="682"/>
      <c r="D149" s="682"/>
      <c r="E149" s="682"/>
    </row>
    <row r="150" spans="1:5" ht="13.5" thickBot="1">
      <c r="A150" s="658" t="s">
        <v>134</v>
      </c>
      <c r="B150" s="681">
        <f t="shared" si="5"/>
        <v>0</v>
      </c>
      <c r="C150" s="682"/>
      <c r="D150" s="682"/>
      <c r="E150" s="682"/>
    </row>
    <row r="151" spans="1:5" ht="13.5" thickBot="1">
      <c r="A151" s="659" t="s">
        <v>135</v>
      </c>
      <c r="B151" s="683">
        <f>B145+SUM(B147:B150)</f>
        <v>0</v>
      </c>
      <c r="C151" s="684">
        <f>C145+SUM(C147:C150)</f>
        <v>0</v>
      </c>
      <c r="D151" s="684">
        <f>D145+SUM(D147:D150)</f>
        <v>0</v>
      </c>
      <c r="E151" s="685">
        <f>E145+SUM(E147:E150)</f>
        <v>0</v>
      </c>
    </row>
    <row r="152" spans="1:5" ht="12.75">
      <c r="A152" s="660" t="s">
        <v>138</v>
      </c>
      <c r="B152" s="676">
        <f>C152+D152+E152</f>
        <v>0</v>
      </c>
      <c r="C152" s="677"/>
      <c r="D152" s="677"/>
      <c r="E152" s="678"/>
    </row>
    <row r="153" spans="1:5" ht="12.75">
      <c r="A153" s="661" t="s">
        <v>139</v>
      </c>
      <c r="B153" s="681">
        <f>C153+D153+E153</f>
        <v>0</v>
      </c>
      <c r="C153" s="682"/>
      <c r="D153" s="682"/>
      <c r="E153" s="682"/>
    </row>
    <row r="154" spans="1:5" ht="12.75">
      <c r="A154" s="661" t="s">
        <v>140</v>
      </c>
      <c r="B154" s="681">
        <f>C154+D154+E154</f>
        <v>0</v>
      </c>
      <c r="C154" s="682"/>
      <c r="D154" s="682"/>
      <c r="E154" s="682"/>
    </row>
    <row r="155" spans="1:5" ht="12.75">
      <c r="A155" s="661" t="s">
        <v>141</v>
      </c>
      <c r="B155" s="681">
        <f>C155+D155+E155</f>
        <v>0</v>
      </c>
      <c r="C155" s="682"/>
      <c r="D155" s="682"/>
      <c r="E155" s="682"/>
    </row>
    <row r="156" spans="1:5" ht="13.5" thickBot="1">
      <c r="A156" s="662"/>
      <c r="B156" s="686">
        <f>C156+D156+E156</f>
        <v>0</v>
      </c>
      <c r="C156" s="687"/>
      <c r="D156" s="687"/>
      <c r="E156" s="688"/>
    </row>
    <row r="157" spans="1:5" ht="13.5" thickBot="1">
      <c r="A157" s="663" t="s">
        <v>109</v>
      </c>
      <c r="B157" s="683">
        <f>SUM(B152:B156)</f>
        <v>0</v>
      </c>
      <c r="C157" s="684">
        <f>SUM(C152:C156)</f>
        <v>0</v>
      </c>
      <c r="D157" s="684">
        <f>SUM(D152:D156)</f>
        <v>0</v>
      </c>
      <c r="E157" s="685">
        <f>SUM(E152:E156)</f>
        <v>0</v>
      </c>
    </row>
    <row r="159" spans="1:5" ht="14.25">
      <c r="A159" s="781" t="s">
        <v>673</v>
      </c>
      <c r="B159" s="781"/>
      <c r="C159" s="782"/>
      <c r="D159" s="782"/>
      <c r="E159" s="782"/>
    </row>
    <row r="160" spans="1:5" ht="15.75" thickBot="1">
      <c r="A160" s="650"/>
      <c r="B160" s="650"/>
      <c r="C160" s="650"/>
      <c r="D160" s="650"/>
      <c r="E160" s="689" t="str">
        <f>$E$3</f>
        <v>Forintban!</v>
      </c>
    </row>
    <row r="161" spans="1:5" ht="13.5" thickBot="1">
      <c r="A161" s="783" t="s">
        <v>130</v>
      </c>
      <c r="B161" s="786" t="s">
        <v>668</v>
      </c>
      <c r="C161" s="787"/>
      <c r="D161" s="787"/>
      <c r="E161" s="788"/>
    </row>
    <row r="162" spans="1:5" ht="13.5" thickBot="1">
      <c r="A162" s="784"/>
      <c r="B162" s="789" t="s">
        <v>680</v>
      </c>
      <c r="C162" s="792" t="s">
        <v>669</v>
      </c>
      <c r="D162" s="793"/>
      <c r="E162" s="794"/>
    </row>
    <row r="163" spans="1:5" ht="12.75">
      <c r="A163" s="784"/>
      <c r="B163" s="790"/>
      <c r="C163" s="789" t="str">
        <f>CONCATENATE(TARTALOMJEGYZÉK!$A$1,". előtti tervezett forrás, kiadás")</f>
        <v>2020. előtti tervezett forrás, kiadás</v>
      </c>
      <c r="D163" s="789" t="str">
        <f>CONCATENATE(TARTALOMJEGYZÉK!$A$1,". évi eredeti előirányzat")</f>
        <v>2020. évi eredeti előirányzat</v>
      </c>
      <c r="E163" s="789" t="str">
        <f>CONCATENATE(TARTALOMJEGYZÉK!$A$1,". év utáni tervezett forrás, kiadás")</f>
        <v>2020. év utáni tervezett forrás, kiadás</v>
      </c>
    </row>
    <row r="164" spans="1:5" ht="13.5" thickBot="1">
      <c r="A164" s="785"/>
      <c r="B164" s="791"/>
      <c r="C164" s="795"/>
      <c r="D164" s="795"/>
      <c r="E164" s="791"/>
    </row>
    <row r="165" spans="1:5" ht="13.5" thickBot="1">
      <c r="A165" s="651" t="s">
        <v>485</v>
      </c>
      <c r="B165" s="652" t="s">
        <v>670</v>
      </c>
      <c r="C165" s="653" t="s">
        <v>487</v>
      </c>
      <c r="D165" s="654" t="s">
        <v>489</v>
      </c>
      <c r="E165" s="655" t="s">
        <v>488</v>
      </c>
    </row>
    <row r="166" spans="1:5" ht="12.75">
      <c r="A166" s="656" t="s">
        <v>131</v>
      </c>
      <c r="B166" s="676">
        <f aca="true" t="shared" si="6" ref="B166:B171">C166+D166+E166</f>
        <v>0</v>
      </c>
      <c r="C166" s="677"/>
      <c r="D166" s="677"/>
      <c r="E166" s="678"/>
    </row>
    <row r="167" spans="1:5" ht="12.75">
      <c r="A167" s="657" t="s">
        <v>142</v>
      </c>
      <c r="B167" s="679">
        <f t="shared" si="6"/>
        <v>0</v>
      </c>
      <c r="C167" s="680"/>
      <c r="D167" s="680"/>
      <c r="E167" s="680"/>
    </row>
    <row r="168" spans="1:5" ht="12.75">
      <c r="A168" s="658" t="s">
        <v>132</v>
      </c>
      <c r="B168" s="681">
        <f t="shared" si="6"/>
        <v>0</v>
      </c>
      <c r="C168" s="682"/>
      <c r="D168" s="682"/>
      <c r="E168" s="682"/>
    </row>
    <row r="169" spans="1:5" ht="12.75">
      <c r="A169" s="658" t="s">
        <v>144</v>
      </c>
      <c r="B169" s="681">
        <f t="shared" si="6"/>
        <v>0</v>
      </c>
      <c r="C169" s="682"/>
      <c r="D169" s="682"/>
      <c r="E169" s="682"/>
    </row>
    <row r="170" spans="1:5" ht="12.75">
      <c r="A170" s="658" t="s">
        <v>133</v>
      </c>
      <c r="B170" s="681">
        <f t="shared" si="6"/>
        <v>0</v>
      </c>
      <c r="C170" s="682"/>
      <c r="D170" s="682"/>
      <c r="E170" s="682"/>
    </row>
    <row r="171" spans="1:5" ht="13.5" thickBot="1">
      <c r="A171" s="658" t="s">
        <v>134</v>
      </c>
      <c r="B171" s="681">
        <f t="shared" si="6"/>
        <v>0</v>
      </c>
      <c r="C171" s="682"/>
      <c r="D171" s="682"/>
      <c r="E171" s="682"/>
    </row>
    <row r="172" spans="1:5" ht="13.5" thickBot="1">
      <c r="A172" s="659" t="s">
        <v>135</v>
      </c>
      <c r="B172" s="683">
        <f>B166+SUM(B168:B171)</f>
        <v>0</v>
      </c>
      <c r="C172" s="684">
        <f>C166+SUM(C168:C171)</f>
        <v>0</v>
      </c>
      <c r="D172" s="684">
        <f>D166+SUM(D168:D171)</f>
        <v>0</v>
      </c>
      <c r="E172" s="685">
        <f>E166+SUM(E168:E171)</f>
        <v>0</v>
      </c>
    </row>
    <row r="173" spans="1:5" ht="12.75">
      <c r="A173" s="660" t="s">
        <v>138</v>
      </c>
      <c r="B173" s="676">
        <f>C173+D173+E173</f>
        <v>0</v>
      </c>
      <c r="C173" s="677"/>
      <c r="D173" s="677"/>
      <c r="E173" s="678"/>
    </row>
    <row r="174" spans="1:5" ht="12.75">
      <c r="A174" s="661" t="s">
        <v>139</v>
      </c>
      <c r="B174" s="681">
        <f>C174+D174+E174</f>
        <v>0</v>
      </c>
      <c r="C174" s="682"/>
      <c r="D174" s="682"/>
      <c r="E174" s="682"/>
    </row>
    <row r="175" spans="1:5" ht="12.75">
      <c r="A175" s="661" t="s">
        <v>140</v>
      </c>
      <c r="B175" s="681">
        <f>C175+D175+E175</f>
        <v>0</v>
      </c>
      <c r="C175" s="682"/>
      <c r="D175" s="682"/>
      <c r="E175" s="682"/>
    </row>
    <row r="176" spans="1:5" ht="12.75">
      <c r="A176" s="661" t="s">
        <v>141</v>
      </c>
      <c r="B176" s="681">
        <f>C176+D176+E176</f>
        <v>0</v>
      </c>
      <c r="C176" s="682"/>
      <c r="D176" s="682"/>
      <c r="E176" s="682"/>
    </row>
    <row r="177" spans="1:5" ht="13.5" thickBot="1">
      <c r="A177" s="662"/>
      <c r="B177" s="686">
        <f>C177+D177+E177</f>
        <v>0</v>
      </c>
      <c r="C177" s="687"/>
      <c r="D177" s="687"/>
      <c r="E177" s="688"/>
    </row>
    <row r="178" spans="1:5" ht="13.5" thickBot="1">
      <c r="A178" s="663" t="s">
        <v>109</v>
      </c>
      <c r="B178" s="683">
        <f>SUM(B173:B177)</f>
        <v>0</v>
      </c>
      <c r="C178" s="684">
        <f>SUM(C173:C177)</f>
        <v>0</v>
      </c>
      <c r="D178" s="684">
        <f>SUM(D173:D177)</f>
        <v>0</v>
      </c>
      <c r="E178" s="685">
        <f>SUM(E173:E177)</f>
        <v>0</v>
      </c>
    </row>
    <row r="180" spans="1:5" ht="14.25">
      <c r="A180" s="781" t="s">
        <v>673</v>
      </c>
      <c r="B180" s="781"/>
      <c r="C180" s="782"/>
      <c r="D180" s="782"/>
      <c r="E180" s="782"/>
    </row>
    <row r="181" spans="1:5" ht="15.75" thickBot="1">
      <c r="A181" s="650"/>
      <c r="B181" s="650"/>
      <c r="C181" s="650"/>
      <c r="D181" s="650"/>
      <c r="E181" s="689" t="str">
        <f>$E$3</f>
        <v>Forintban!</v>
      </c>
    </row>
    <row r="182" spans="1:5" ht="13.5" thickBot="1">
      <c r="A182" s="783" t="s">
        <v>130</v>
      </c>
      <c r="B182" s="786" t="s">
        <v>668</v>
      </c>
      <c r="C182" s="787"/>
      <c r="D182" s="787"/>
      <c r="E182" s="788"/>
    </row>
    <row r="183" spans="1:5" ht="13.5" thickBot="1">
      <c r="A183" s="784"/>
      <c r="B183" s="789" t="s">
        <v>680</v>
      </c>
      <c r="C183" s="792" t="s">
        <v>669</v>
      </c>
      <c r="D183" s="793"/>
      <c r="E183" s="794"/>
    </row>
    <row r="184" spans="1:5" ht="12.75">
      <c r="A184" s="784"/>
      <c r="B184" s="790"/>
      <c r="C184" s="789" t="str">
        <f>CONCATENATE(TARTALOMJEGYZÉK!$A$1,". előtti tervezett forrás, kiadás")</f>
        <v>2020. előtti tervezett forrás, kiadás</v>
      </c>
      <c r="D184" s="789" t="str">
        <f>CONCATENATE(TARTALOMJEGYZÉK!$A$1,". évi eredeti előirányzat")</f>
        <v>2020. évi eredeti előirányzat</v>
      </c>
      <c r="E184" s="789" t="str">
        <f>CONCATENATE(TARTALOMJEGYZÉK!$A$1,". év utáni tervezett forrás, kiadás")</f>
        <v>2020. év utáni tervezett forrás, kiadás</v>
      </c>
    </row>
    <row r="185" spans="1:5" ht="13.5" thickBot="1">
      <c r="A185" s="785"/>
      <c r="B185" s="791"/>
      <c r="C185" s="795"/>
      <c r="D185" s="795"/>
      <c r="E185" s="791"/>
    </row>
    <row r="186" spans="1:5" ht="13.5" thickBot="1">
      <c r="A186" s="651" t="s">
        <v>485</v>
      </c>
      <c r="B186" s="652" t="s">
        <v>670</v>
      </c>
      <c r="C186" s="653" t="s">
        <v>487</v>
      </c>
      <c r="D186" s="654" t="s">
        <v>489</v>
      </c>
      <c r="E186" s="655" t="s">
        <v>488</v>
      </c>
    </row>
    <row r="187" spans="1:5" ht="12.75">
      <c r="A187" s="656" t="s">
        <v>131</v>
      </c>
      <c r="B187" s="676">
        <f aca="true" t="shared" si="7" ref="B187:B192">C187+D187+E187</f>
        <v>0</v>
      </c>
      <c r="C187" s="677"/>
      <c r="D187" s="677"/>
      <c r="E187" s="678"/>
    </row>
    <row r="188" spans="1:5" ht="12.75">
      <c r="A188" s="657" t="s">
        <v>142</v>
      </c>
      <c r="B188" s="679">
        <f t="shared" si="7"/>
        <v>0</v>
      </c>
      <c r="C188" s="680"/>
      <c r="D188" s="680"/>
      <c r="E188" s="680"/>
    </row>
    <row r="189" spans="1:5" ht="12.75">
      <c r="A189" s="658" t="s">
        <v>132</v>
      </c>
      <c r="B189" s="681">
        <f t="shared" si="7"/>
        <v>0</v>
      </c>
      <c r="C189" s="682"/>
      <c r="D189" s="682"/>
      <c r="E189" s="682"/>
    </row>
    <row r="190" spans="1:5" ht="12.75">
      <c r="A190" s="658" t="s">
        <v>144</v>
      </c>
      <c r="B190" s="681">
        <f t="shared" si="7"/>
        <v>0</v>
      </c>
      <c r="C190" s="682"/>
      <c r="D190" s="682"/>
      <c r="E190" s="682"/>
    </row>
    <row r="191" spans="1:5" ht="12.75">
      <c r="A191" s="658" t="s">
        <v>133</v>
      </c>
      <c r="B191" s="681">
        <f t="shared" si="7"/>
        <v>0</v>
      </c>
      <c r="C191" s="682"/>
      <c r="D191" s="682"/>
      <c r="E191" s="682"/>
    </row>
    <row r="192" spans="1:5" ht="13.5" thickBot="1">
      <c r="A192" s="658" t="s">
        <v>134</v>
      </c>
      <c r="B192" s="681">
        <f t="shared" si="7"/>
        <v>0</v>
      </c>
      <c r="C192" s="682"/>
      <c r="D192" s="682"/>
      <c r="E192" s="682"/>
    </row>
    <row r="193" spans="1:5" ht="13.5" thickBot="1">
      <c r="A193" s="659" t="s">
        <v>135</v>
      </c>
      <c r="B193" s="683">
        <f>B187+SUM(B189:B192)</f>
        <v>0</v>
      </c>
      <c r="C193" s="684">
        <f>C187+SUM(C189:C192)</f>
        <v>0</v>
      </c>
      <c r="D193" s="684">
        <f>D187+SUM(D189:D192)</f>
        <v>0</v>
      </c>
      <c r="E193" s="685">
        <f>E187+SUM(E189:E192)</f>
        <v>0</v>
      </c>
    </row>
    <row r="194" spans="1:5" ht="12.75">
      <c r="A194" s="660" t="s">
        <v>138</v>
      </c>
      <c r="B194" s="676">
        <f>C194+D194+E194</f>
        <v>0</v>
      </c>
      <c r="C194" s="677"/>
      <c r="D194" s="677"/>
      <c r="E194" s="678"/>
    </row>
    <row r="195" spans="1:5" ht="12.75">
      <c r="A195" s="661" t="s">
        <v>139</v>
      </c>
      <c r="B195" s="681">
        <f>C195+D195+E195</f>
        <v>0</v>
      </c>
      <c r="C195" s="682"/>
      <c r="D195" s="682"/>
      <c r="E195" s="682"/>
    </row>
    <row r="196" spans="1:5" ht="12.75">
      <c r="A196" s="661" t="s">
        <v>140</v>
      </c>
      <c r="B196" s="681">
        <f>C196+D196+E196</f>
        <v>0</v>
      </c>
      <c r="C196" s="682"/>
      <c r="D196" s="682"/>
      <c r="E196" s="682"/>
    </row>
    <row r="197" spans="1:5" ht="12.75">
      <c r="A197" s="661" t="s">
        <v>141</v>
      </c>
      <c r="B197" s="681">
        <f>C197+D197+E197</f>
        <v>0</v>
      </c>
      <c r="C197" s="682"/>
      <c r="D197" s="682"/>
      <c r="E197" s="682"/>
    </row>
    <row r="198" spans="1:5" ht="13.5" thickBot="1">
      <c r="A198" s="662"/>
      <c r="B198" s="686">
        <f>C198+D198+E198</f>
        <v>0</v>
      </c>
      <c r="C198" s="687"/>
      <c r="D198" s="687"/>
      <c r="E198" s="688"/>
    </row>
    <row r="199" spans="1:5" ht="13.5" thickBot="1">
      <c r="A199" s="663" t="s">
        <v>109</v>
      </c>
      <c r="B199" s="683">
        <f>SUM(B194:B198)</f>
        <v>0</v>
      </c>
      <c r="C199" s="684">
        <f>SUM(C194:C198)</f>
        <v>0</v>
      </c>
      <c r="D199" s="684">
        <f>SUM(D194:D198)</f>
        <v>0</v>
      </c>
      <c r="E199" s="685">
        <f>SUM(E194:E198)</f>
        <v>0</v>
      </c>
    </row>
    <row r="201" spans="1:5" ht="14.25">
      <c r="A201" s="781" t="s">
        <v>673</v>
      </c>
      <c r="B201" s="781"/>
      <c r="C201" s="782"/>
      <c r="D201" s="782"/>
      <c r="E201" s="782"/>
    </row>
    <row r="202" spans="1:5" ht="15.75" thickBot="1">
      <c r="A202" s="650"/>
      <c r="B202" s="650"/>
      <c r="C202" s="650"/>
      <c r="D202" s="650"/>
      <c r="E202" s="689" t="str">
        <f>$E$3</f>
        <v>Forintban!</v>
      </c>
    </row>
    <row r="203" spans="1:5" ht="13.5" thickBot="1">
      <c r="A203" s="783" t="s">
        <v>130</v>
      </c>
      <c r="B203" s="786" t="s">
        <v>668</v>
      </c>
      <c r="C203" s="787"/>
      <c r="D203" s="787"/>
      <c r="E203" s="788"/>
    </row>
    <row r="204" spans="1:5" ht="13.5" thickBot="1">
      <c r="A204" s="784"/>
      <c r="B204" s="789" t="s">
        <v>680</v>
      </c>
      <c r="C204" s="792" t="s">
        <v>669</v>
      </c>
      <c r="D204" s="793"/>
      <c r="E204" s="794"/>
    </row>
    <row r="205" spans="1:5" ht="12.75">
      <c r="A205" s="784"/>
      <c r="B205" s="790"/>
      <c r="C205" s="789" t="str">
        <f>CONCATENATE(TARTALOMJEGYZÉK!$A$1,". előtti tervezett forrás, kiadás")</f>
        <v>2020. előtti tervezett forrás, kiadás</v>
      </c>
      <c r="D205" s="789" t="str">
        <f>CONCATENATE(TARTALOMJEGYZÉK!$A$1,". évi eredeti előirányzat")</f>
        <v>2020. évi eredeti előirányzat</v>
      </c>
      <c r="E205" s="789" t="str">
        <f>CONCATENATE(TARTALOMJEGYZÉK!$A$1,". év utáni tervezett forrás, kiadás")</f>
        <v>2020. év utáni tervezett forrás, kiadás</v>
      </c>
    </row>
    <row r="206" spans="1:5" ht="13.5" thickBot="1">
      <c r="A206" s="785"/>
      <c r="B206" s="791"/>
      <c r="C206" s="795"/>
      <c r="D206" s="795"/>
      <c r="E206" s="791"/>
    </row>
    <row r="207" spans="1:5" ht="13.5" thickBot="1">
      <c r="A207" s="651" t="s">
        <v>485</v>
      </c>
      <c r="B207" s="652" t="s">
        <v>670</v>
      </c>
      <c r="C207" s="653" t="s">
        <v>487</v>
      </c>
      <c r="D207" s="654" t="s">
        <v>489</v>
      </c>
      <c r="E207" s="655" t="s">
        <v>488</v>
      </c>
    </row>
    <row r="208" spans="1:5" ht="12.75">
      <c r="A208" s="656" t="s">
        <v>131</v>
      </c>
      <c r="B208" s="676">
        <f aca="true" t="shared" si="8" ref="B208:B213">C208+D208+E208</f>
        <v>0</v>
      </c>
      <c r="C208" s="677"/>
      <c r="D208" s="677"/>
      <c r="E208" s="678"/>
    </row>
    <row r="209" spans="1:5" ht="12.75">
      <c r="A209" s="657" t="s">
        <v>142</v>
      </c>
      <c r="B209" s="679">
        <f t="shared" si="8"/>
        <v>0</v>
      </c>
      <c r="C209" s="680"/>
      <c r="D209" s="680"/>
      <c r="E209" s="680"/>
    </row>
    <row r="210" spans="1:5" ht="12.75">
      <c r="A210" s="658" t="s">
        <v>132</v>
      </c>
      <c r="B210" s="681">
        <f t="shared" si="8"/>
        <v>0</v>
      </c>
      <c r="C210" s="682"/>
      <c r="D210" s="682"/>
      <c r="E210" s="682"/>
    </row>
    <row r="211" spans="1:5" ht="12.75">
      <c r="A211" s="658" t="s">
        <v>144</v>
      </c>
      <c r="B211" s="681">
        <f t="shared" si="8"/>
        <v>0</v>
      </c>
      <c r="C211" s="682"/>
      <c r="D211" s="682"/>
      <c r="E211" s="682"/>
    </row>
    <row r="212" spans="1:5" ht="12.75">
      <c r="A212" s="658" t="s">
        <v>133</v>
      </c>
      <c r="B212" s="681">
        <f t="shared" si="8"/>
        <v>0</v>
      </c>
      <c r="C212" s="682"/>
      <c r="D212" s="682"/>
      <c r="E212" s="682"/>
    </row>
    <row r="213" spans="1:5" ht="13.5" thickBot="1">
      <c r="A213" s="658" t="s">
        <v>134</v>
      </c>
      <c r="B213" s="681">
        <f t="shared" si="8"/>
        <v>0</v>
      </c>
      <c r="C213" s="682"/>
      <c r="D213" s="682"/>
      <c r="E213" s="682"/>
    </row>
    <row r="214" spans="1:5" ht="13.5" thickBot="1">
      <c r="A214" s="659" t="s">
        <v>135</v>
      </c>
      <c r="B214" s="683">
        <f>B208+SUM(B210:B213)</f>
        <v>0</v>
      </c>
      <c r="C214" s="684">
        <f>C208+SUM(C210:C213)</f>
        <v>0</v>
      </c>
      <c r="D214" s="684">
        <f>D208+SUM(D210:D213)</f>
        <v>0</v>
      </c>
      <c r="E214" s="685">
        <f>E208+SUM(E210:E213)</f>
        <v>0</v>
      </c>
    </row>
    <row r="215" spans="1:5" ht="12.75">
      <c r="A215" s="660" t="s">
        <v>138</v>
      </c>
      <c r="B215" s="676">
        <f>C215+D215+E215</f>
        <v>0</v>
      </c>
      <c r="C215" s="677"/>
      <c r="D215" s="677"/>
      <c r="E215" s="678"/>
    </row>
    <row r="216" spans="1:5" ht="12.75">
      <c r="A216" s="661" t="s">
        <v>139</v>
      </c>
      <c r="B216" s="681">
        <f>C216+D216+E216</f>
        <v>0</v>
      </c>
      <c r="C216" s="682"/>
      <c r="D216" s="682"/>
      <c r="E216" s="682"/>
    </row>
    <row r="217" spans="1:5" ht="12.75">
      <c r="A217" s="661" t="s">
        <v>140</v>
      </c>
      <c r="B217" s="681">
        <f>C217+D217+E217</f>
        <v>0</v>
      </c>
      <c r="C217" s="682"/>
      <c r="D217" s="682"/>
      <c r="E217" s="682"/>
    </row>
    <row r="218" spans="1:5" ht="12.75">
      <c r="A218" s="661" t="s">
        <v>141</v>
      </c>
      <c r="B218" s="681">
        <f>C218+D218+E218</f>
        <v>0</v>
      </c>
      <c r="C218" s="682"/>
      <c r="D218" s="682"/>
      <c r="E218" s="682"/>
    </row>
    <row r="219" spans="1:5" ht="13.5" thickBot="1">
      <c r="A219" s="662"/>
      <c r="B219" s="686">
        <f>C219+D219+E219</f>
        <v>0</v>
      </c>
      <c r="C219" s="687"/>
      <c r="D219" s="687"/>
      <c r="E219" s="688"/>
    </row>
    <row r="220" spans="1:5" ht="13.5" thickBot="1">
      <c r="A220" s="663" t="s">
        <v>109</v>
      </c>
      <c r="B220" s="683">
        <f>SUM(B215:B219)</f>
        <v>0</v>
      </c>
      <c r="C220" s="684">
        <f>SUM(C215:C219)</f>
        <v>0</v>
      </c>
      <c r="D220" s="684">
        <f>SUM(D215:D219)</f>
        <v>0</v>
      </c>
      <c r="E220" s="685">
        <f>SUM(E215:E219)</f>
        <v>0</v>
      </c>
    </row>
  </sheetData>
  <sheetProtection/>
  <mergeCells count="95">
    <mergeCell ref="A54:E54"/>
    <mergeCell ref="A75:E75"/>
    <mergeCell ref="A2:E2"/>
    <mergeCell ref="A4:D4"/>
    <mergeCell ref="A5:D5"/>
    <mergeCell ref="A6:D6"/>
    <mergeCell ref="A7:D7"/>
    <mergeCell ref="A31:E31"/>
    <mergeCell ref="A9:E9"/>
    <mergeCell ref="A13:A16"/>
    <mergeCell ref="B13:E13"/>
    <mergeCell ref="B14:B16"/>
    <mergeCell ref="A10:E10"/>
    <mergeCell ref="C14:E14"/>
    <mergeCell ref="C15:C16"/>
    <mergeCell ref="D15:D16"/>
    <mergeCell ref="E15:E16"/>
    <mergeCell ref="A11:E11"/>
    <mergeCell ref="B35:E35"/>
    <mergeCell ref="B36:B38"/>
    <mergeCell ref="C36:E36"/>
    <mergeCell ref="C37:C38"/>
    <mergeCell ref="D37:D38"/>
    <mergeCell ref="E37:E38"/>
    <mergeCell ref="A33:E33"/>
    <mergeCell ref="F1:F31"/>
    <mergeCell ref="A56:A59"/>
    <mergeCell ref="B56:E56"/>
    <mergeCell ref="B57:B59"/>
    <mergeCell ref="C57:E57"/>
    <mergeCell ref="C58:C59"/>
    <mergeCell ref="D58:D59"/>
    <mergeCell ref="E58:E59"/>
    <mergeCell ref="A35:A38"/>
    <mergeCell ref="A77:A80"/>
    <mergeCell ref="B77:E77"/>
    <mergeCell ref="B78:B80"/>
    <mergeCell ref="C78:E78"/>
    <mergeCell ref="C79:C80"/>
    <mergeCell ref="D79:D80"/>
    <mergeCell ref="E79:E80"/>
    <mergeCell ref="A96:B96"/>
    <mergeCell ref="C96:E96"/>
    <mergeCell ref="A98:A101"/>
    <mergeCell ref="B98:E98"/>
    <mergeCell ref="B99:B101"/>
    <mergeCell ref="C99:E99"/>
    <mergeCell ref="C100:C101"/>
    <mergeCell ref="D100:D101"/>
    <mergeCell ref="E100:E101"/>
    <mergeCell ref="A117:B117"/>
    <mergeCell ref="C117:E117"/>
    <mergeCell ref="A119:A122"/>
    <mergeCell ref="B119:E119"/>
    <mergeCell ref="B120:B122"/>
    <mergeCell ref="C120:E120"/>
    <mergeCell ref="C121:C122"/>
    <mergeCell ref="D121:D122"/>
    <mergeCell ref="E121:E122"/>
    <mergeCell ref="A138:B138"/>
    <mergeCell ref="C138:E138"/>
    <mergeCell ref="A140:A143"/>
    <mergeCell ref="B140:E140"/>
    <mergeCell ref="B141:B143"/>
    <mergeCell ref="C141:E141"/>
    <mergeCell ref="C142:C143"/>
    <mergeCell ref="D142:D143"/>
    <mergeCell ref="E142:E143"/>
    <mergeCell ref="A159:B159"/>
    <mergeCell ref="C159:E159"/>
    <mergeCell ref="A161:A164"/>
    <mergeCell ref="B161:E161"/>
    <mergeCell ref="B162:B164"/>
    <mergeCell ref="C162:E162"/>
    <mergeCell ref="C163:C164"/>
    <mergeCell ref="D163:D164"/>
    <mergeCell ref="E163:E164"/>
    <mergeCell ref="A180:B180"/>
    <mergeCell ref="C180:E180"/>
    <mergeCell ref="A182:A185"/>
    <mergeCell ref="B182:E182"/>
    <mergeCell ref="B183:B185"/>
    <mergeCell ref="C183:E183"/>
    <mergeCell ref="C184:C185"/>
    <mergeCell ref="D184:D185"/>
    <mergeCell ref="E184:E185"/>
    <mergeCell ref="A201:B201"/>
    <mergeCell ref="C201:E201"/>
    <mergeCell ref="A203:A206"/>
    <mergeCell ref="B203:E203"/>
    <mergeCell ref="B204:B206"/>
    <mergeCell ref="C204:E204"/>
    <mergeCell ref="C205:C206"/>
    <mergeCell ref="D205:D206"/>
    <mergeCell ref="E205:E206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  <rowBreaks count="9" manualBreakCount="9">
    <brk id="32" max="255" man="1"/>
    <brk id="53" max="255" man="1"/>
    <brk id="74" max="255" man="1"/>
    <brk id="95" max="255" man="1"/>
    <brk id="116" max="255" man="1"/>
    <brk id="137" max="255" man="1"/>
    <brk id="158" max="255" man="1"/>
    <brk id="179" max="255" man="1"/>
    <brk id="20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9"/>
  <sheetViews>
    <sheetView zoomScale="120" zoomScaleNormal="120" zoomScaleSheetLayoutView="85" workbookViewId="0" topLeftCell="A1">
      <selection activeCell="C116" sqref="C116"/>
    </sheetView>
  </sheetViews>
  <sheetFormatPr defaultColWidth="9.00390625" defaultRowHeight="12.75"/>
  <cols>
    <col min="1" max="1" width="19.50390625" style="367" customWidth="1"/>
    <col min="2" max="2" width="72.00390625" style="368" customWidth="1"/>
    <col min="3" max="3" width="25.00390625" style="369" customWidth="1"/>
    <col min="4" max="16384" width="9.375" style="3" customWidth="1"/>
  </cols>
  <sheetData>
    <row r="1" spans="1:3" s="2" customFormat="1" ht="16.5" customHeight="1" thickBot="1">
      <c r="A1" s="566"/>
      <c r="B1" s="567"/>
      <c r="C1" s="563" t="str">
        <f>CONCATENATE("9.1. melléklet ",ALAPADATOK!A7," ",ALAPADATOK!B7," ",ALAPADATOK!C7," ",ALAPADATOK!D7," ",ALAPADATOK!E7," ",ALAPADATOK!F7," ",ALAPADATOK!G7," ",ALAPADATOK!H7)</f>
        <v>9.1. melléklet a 2 / 2020 ( II. 21. ) önkormányzati rendelethez</v>
      </c>
    </row>
    <row r="2" spans="1:3" s="85" customFormat="1" ht="21" customHeight="1">
      <c r="A2" s="568" t="s">
        <v>61</v>
      </c>
      <c r="B2" s="569" t="str">
        <f>CONCATENATE(ALAPADATOK!A3)</f>
        <v>BALATONGYÖRÖK KÖZSÉG ÖNKORMÁNYZATA</v>
      </c>
      <c r="C2" s="570" t="s">
        <v>54</v>
      </c>
    </row>
    <row r="3" spans="1:3" s="85" customFormat="1" ht="16.5" thickBot="1">
      <c r="A3" s="571" t="s">
        <v>198</v>
      </c>
      <c r="B3" s="572" t="s">
        <v>391</v>
      </c>
      <c r="C3" s="573" t="s">
        <v>54</v>
      </c>
    </row>
    <row r="4" spans="1:3" s="86" customFormat="1" ht="22.5" customHeight="1" thickBot="1">
      <c r="A4" s="574"/>
      <c r="B4" s="574"/>
      <c r="C4" s="575" t="str">
        <f>'KV_7.sz.mell.'!F5</f>
        <v>Forintban!</v>
      </c>
    </row>
    <row r="5" spans="1:3" ht="13.5" thickBot="1">
      <c r="A5" s="576" t="s">
        <v>200</v>
      </c>
      <c r="B5" s="577" t="s">
        <v>551</v>
      </c>
      <c r="C5" s="578" t="s">
        <v>55</v>
      </c>
    </row>
    <row r="6" spans="1:3" s="68" customFormat="1" ht="12.75" customHeight="1" thickBot="1">
      <c r="A6" s="579"/>
      <c r="B6" s="580" t="s">
        <v>485</v>
      </c>
      <c r="C6" s="581" t="s">
        <v>486</v>
      </c>
    </row>
    <row r="7" spans="1:3" s="68" customFormat="1" ht="15.75" customHeight="1" thickBot="1">
      <c r="A7" s="582"/>
      <c r="B7" s="583" t="s">
        <v>56</v>
      </c>
      <c r="C7" s="584"/>
    </row>
    <row r="8" spans="1:3" s="68" customFormat="1" ht="12" customHeight="1" thickBot="1">
      <c r="A8" s="32" t="s">
        <v>18</v>
      </c>
      <c r="B8" s="21" t="s">
        <v>247</v>
      </c>
      <c r="C8" s="274">
        <f>+C9+C10+C11+C12+C13+C14</f>
        <v>75625669</v>
      </c>
    </row>
    <row r="9" spans="1:3" s="87" customFormat="1" ht="12" customHeight="1">
      <c r="A9" s="411" t="s">
        <v>97</v>
      </c>
      <c r="B9" s="392" t="s">
        <v>248</v>
      </c>
      <c r="C9" s="277">
        <v>63205646</v>
      </c>
    </row>
    <row r="10" spans="1:3" s="88" customFormat="1" ht="12" customHeight="1">
      <c r="A10" s="412" t="s">
        <v>98</v>
      </c>
      <c r="B10" s="393" t="s">
        <v>249</v>
      </c>
      <c r="C10" s="276"/>
    </row>
    <row r="11" spans="1:3" s="88" customFormat="1" ht="12" customHeight="1">
      <c r="A11" s="412" t="s">
        <v>99</v>
      </c>
      <c r="B11" s="393" t="s">
        <v>539</v>
      </c>
      <c r="C11" s="276">
        <v>10620023</v>
      </c>
    </row>
    <row r="12" spans="1:3" s="88" customFormat="1" ht="12" customHeight="1">
      <c r="A12" s="412" t="s">
        <v>100</v>
      </c>
      <c r="B12" s="393" t="s">
        <v>251</v>
      </c>
      <c r="C12" s="276">
        <v>1800000</v>
      </c>
    </row>
    <row r="13" spans="1:3" s="88" customFormat="1" ht="12" customHeight="1">
      <c r="A13" s="412" t="s">
        <v>145</v>
      </c>
      <c r="B13" s="393" t="s">
        <v>498</v>
      </c>
      <c r="C13" s="276"/>
    </row>
    <row r="14" spans="1:3" s="87" customFormat="1" ht="12" customHeight="1" thickBot="1">
      <c r="A14" s="413" t="s">
        <v>101</v>
      </c>
      <c r="B14" s="527" t="s">
        <v>563</v>
      </c>
      <c r="C14" s="276"/>
    </row>
    <row r="15" spans="1:3" s="87" customFormat="1" ht="12" customHeight="1" thickBot="1">
      <c r="A15" s="32" t="s">
        <v>19</v>
      </c>
      <c r="B15" s="269" t="s">
        <v>252</v>
      </c>
      <c r="C15" s="274">
        <f>+C16+C17+C18+C19+C20</f>
        <v>0</v>
      </c>
    </row>
    <row r="16" spans="1:3" s="87" customFormat="1" ht="12" customHeight="1">
      <c r="A16" s="411" t="s">
        <v>103</v>
      </c>
      <c r="B16" s="392" t="s">
        <v>253</v>
      </c>
      <c r="C16" s="277"/>
    </row>
    <row r="17" spans="1:3" s="87" customFormat="1" ht="12" customHeight="1">
      <c r="A17" s="412" t="s">
        <v>104</v>
      </c>
      <c r="B17" s="393" t="s">
        <v>254</v>
      </c>
      <c r="C17" s="276"/>
    </row>
    <row r="18" spans="1:3" s="87" customFormat="1" ht="12" customHeight="1">
      <c r="A18" s="412" t="s">
        <v>105</v>
      </c>
      <c r="B18" s="393" t="s">
        <v>414</v>
      </c>
      <c r="C18" s="276"/>
    </row>
    <row r="19" spans="1:3" s="87" customFormat="1" ht="12" customHeight="1">
      <c r="A19" s="412" t="s">
        <v>106</v>
      </c>
      <c r="B19" s="393" t="s">
        <v>415</v>
      </c>
      <c r="C19" s="276"/>
    </row>
    <row r="20" spans="1:3" s="87" customFormat="1" ht="12" customHeight="1">
      <c r="A20" s="412" t="s">
        <v>107</v>
      </c>
      <c r="B20" s="393" t="s">
        <v>255</v>
      </c>
      <c r="C20" s="276"/>
    </row>
    <row r="21" spans="1:3" s="88" customFormat="1" ht="12" customHeight="1" thickBot="1">
      <c r="A21" s="413" t="s">
        <v>116</v>
      </c>
      <c r="B21" s="527" t="s">
        <v>564</v>
      </c>
      <c r="C21" s="278"/>
    </row>
    <row r="22" spans="1:3" s="88" customFormat="1" ht="12" customHeight="1" thickBot="1">
      <c r="A22" s="32" t="s">
        <v>20</v>
      </c>
      <c r="B22" s="21" t="s">
        <v>257</v>
      </c>
      <c r="C22" s="274">
        <f>+C23+C24+C25+C26+C27</f>
        <v>150437138</v>
      </c>
    </row>
    <row r="23" spans="1:3" s="88" customFormat="1" ht="12" customHeight="1">
      <c r="A23" s="411" t="s">
        <v>86</v>
      </c>
      <c r="B23" s="392" t="s">
        <v>258</v>
      </c>
      <c r="C23" s="277">
        <v>2607000</v>
      </c>
    </row>
    <row r="24" spans="1:3" s="87" customFormat="1" ht="12" customHeight="1">
      <c r="A24" s="412" t="s">
        <v>87</v>
      </c>
      <c r="B24" s="393" t="s">
        <v>259</v>
      </c>
      <c r="C24" s="276"/>
    </row>
    <row r="25" spans="1:3" s="88" customFormat="1" ht="12" customHeight="1">
      <c r="A25" s="412" t="s">
        <v>88</v>
      </c>
      <c r="B25" s="393" t="s">
        <v>416</v>
      </c>
      <c r="C25" s="276"/>
    </row>
    <row r="26" spans="1:3" s="88" customFormat="1" ht="12" customHeight="1">
      <c r="A26" s="412" t="s">
        <v>89</v>
      </c>
      <c r="B26" s="393" t="s">
        <v>417</v>
      </c>
      <c r="C26" s="276"/>
    </row>
    <row r="27" spans="1:3" s="88" customFormat="1" ht="12" customHeight="1">
      <c r="A27" s="412" t="s">
        <v>167</v>
      </c>
      <c r="B27" s="393" t="s">
        <v>260</v>
      </c>
      <c r="C27" s="276">
        <v>147830138</v>
      </c>
    </row>
    <row r="28" spans="1:3" s="88" customFormat="1" ht="12" customHeight="1" thickBot="1">
      <c r="A28" s="413" t="s">
        <v>168</v>
      </c>
      <c r="B28" s="527" t="s">
        <v>556</v>
      </c>
      <c r="C28" s="276">
        <v>64830138</v>
      </c>
    </row>
    <row r="29" spans="1:3" s="88" customFormat="1" ht="12" customHeight="1" thickBot="1">
      <c r="A29" s="32" t="s">
        <v>169</v>
      </c>
      <c r="B29" s="21" t="s">
        <v>548</v>
      </c>
      <c r="C29" s="280">
        <f>C30+C31+C32+C33+C34+C35+C36</f>
        <v>160000000</v>
      </c>
    </row>
    <row r="30" spans="1:3" s="88" customFormat="1" ht="12" customHeight="1">
      <c r="A30" s="411" t="s">
        <v>263</v>
      </c>
      <c r="B30" s="392" t="str">
        <f>'KV_1.1.sz.mell.'!B32</f>
        <v>Építményadó</v>
      </c>
      <c r="C30" s="277">
        <v>80000000</v>
      </c>
    </row>
    <row r="31" spans="1:3" s="88" customFormat="1" ht="12" customHeight="1">
      <c r="A31" s="412" t="s">
        <v>264</v>
      </c>
      <c r="B31" s="392" t="str">
        <f>'KV_1.1.sz.mell.'!B33</f>
        <v>Telekadó</v>
      </c>
      <c r="C31" s="276">
        <v>12000000</v>
      </c>
    </row>
    <row r="32" spans="1:3" s="88" customFormat="1" ht="12" customHeight="1">
      <c r="A32" s="412" t="s">
        <v>265</v>
      </c>
      <c r="B32" s="392" t="str">
        <f>'KV_1.1.sz.mell.'!B34</f>
        <v>Iparűzési adó</v>
      </c>
      <c r="C32" s="276">
        <v>32000000</v>
      </c>
    </row>
    <row r="33" spans="1:3" s="88" customFormat="1" ht="12" customHeight="1">
      <c r="A33" s="412" t="s">
        <v>266</v>
      </c>
      <c r="B33" s="392" t="str">
        <f>'KV_1.1.sz.mell.'!B35</f>
        <v>Idegenforgalmi adó</v>
      </c>
      <c r="C33" s="276">
        <v>28000000</v>
      </c>
    </row>
    <row r="34" spans="1:3" s="88" customFormat="1" ht="12" customHeight="1">
      <c r="A34" s="412" t="s">
        <v>541</v>
      </c>
      <c r="B34" s="392" t="str">
        <f>'KV_1.1.sz.mell.'!B36</f>
        <v>Gépjárműadó</v>
      </c>
      <c r="C34" s="276">
        <v>4500000</v>
      </c>
    </row>
    <row r="35" spans="1:3" s="88" customFormat="1" ht="12" customHeight="1">
      <c r="A35" s="412" t="s">
        <v>542</v>
      </c>
      <c r="B35" s="392" t="str">
        <f>'KV_1.1.sz.mell.'!B37</f>
        <v>Települési adó</v>
      </c>
      <c r="C35" s="276">
        <v>2500000</v>
      </c>
    </row>
    <row r="36" spans="1:3" s="88" customFormat="1" ht="12" customHeight="1" thickBot="1">
      <c r="A36" s="413" t="s">
        <v>543</v>
      </c>
      <c r="B36" s="392" t="str">
        <f>'KV_1.1.sz.mell.'!B38</f>
        <v>Egyéb adó</v>
      </c>
      <c r="C36" s="278">
        <v>1000000</v>
      </c>
    </row>
    <row r="37" spans="1:3" s="88" customFormat="1" ht="12" customHeight="1" thickBot="1">
      <c r="A37" s="32" t="s">
        <v>22</v>
      </c>
      <c r="B37" s="21" t="s">
        <v>426</v>
      </c>
      <c r="C37" s="274">
        <f>SUM(C38:C48)</f>
        <v>141590828</v>
      </c>
    </row>
    <row r="38" spans="1:3" s="88" customFormat="1" ht="12" customHeight="1">
      <c r="A38" s="411" t="s">
        <v>90</v>
      </c>
      <c r="B38" s="392" t="s">
        <v>270</v>
      </c>
      <c r="C38" s="277"/>
    </row>
    <row r="39" spans="1:3" s="88" customFormat="1" ht="12" customHeight="1">
      <c r="A39" s="412" t="s">
        <v>91</v>
      </c>
      <c r="B39" s="393" t="s">
        <v>271</v>
      </c>
      <c r="C39" s="276">
        <v>91200000</v>
      </c>
    </row>
    <row r="40" spans="1:3" s="88" customFormat="1" ht="12" customHeight="1">
      <c r="A40" s="412" t="s">
        <v>92</v>
      </c>
      <c r="B40" s="393" t="s">
        <v>272</v>
      </c>
      <c r="C40" s="276">
        <v>4000000</v>
      </c>
    </row>
    <row r="41" spans="1:3" s="88" customFormat="1" ht="12" customHeight="1">
      <c r="A41" s="412" t="s">
        <v>171</v>
      </c>
      <c r="B41" s="393" t="s">
        <v>273</v>
      </c>
      <c r="C41" s="276"/>
    </row>
    <row r="42" spans="1:3" s="88" customFormat="1" ht="12" customHeight="1">
      <c r="A42" s="412" t="s">
        <v>172</v>
      </c>
      <c r="B42" s="393" t="s">
        <v>274</v>
      </c>
      <c r="C42" s="276">
        <v>3800000</v>
      </c>
    </row>
    <row r="43" spans="1:3" s="88" customFormat="1" ht="12" customHeight="1">
      <c r="A43" s="412" t="s">
        <v>173</v>
      </c>
      <c r="B43" s="393" t="s">
        <v>275</v>
      </c>
      <c r="C43" s="276">
        <v>21821400</v>
      </c>
    </row>
    <row r="44" spans="1:3" s="88" customFormat="1" ht="12" customHeight="1">
      <c r="A44" s="412" t="s">
        <v>174</v>
      </c>
      <c r="B44" s="393" t="s">
        <v>276</v>
      </c>
      <c r="C44" s="276">
        <v>20250000</v>
      </c>
    </row>
    <row r="45" spans="1:3" s="88" customFormat="1" ht="12" customHeight="1">
      <c r="A45" s="412" t="s">
        <v>175</v>
      </c>
      <c r="B45" s="393" t="s">
        <v>547</v>
      </c>
      <c r="C45" s="276"/>
    </row>
    <row r="46" spans="1:3" s="88" customFormat="1" ht="12" customHeight="1">
      <c r="A46" s="412" t="s">
        <v>268</v>
      </c>
      <c r="B46" s="393" t="s">
        <v>278</v>
      </c>
      <c r="C46" s="279">
        <v>19428</v>
      </c>
    </row>
    <row r="47" spans="1:3" s="88" customFormat="1" ht="12" customHeight="1">
      <c r="A47" s="413" t="s">
        <v>269</v>
      </c>
      <c r="B47" s="394" t="s">
        <v>428</v>
      </c>
      <c r="C47" s="380"/>
    </row>
    <row r="48" spans="1:3" s="88" customFormat="1" ht="12" customHeight="1" thickBot="1">
      <c r="A48" s="413" t="s">
        <v>427</v>
      </c>
      <c r="B48" s="527" t="s">
        <v>565</v>
      </c>
      <c r="C48" s="279">
        <v>500000</v>
      </c>
    </row>
    <row r="49" spans="1:3" s="88" customFormat="1" ht="12" customHeight="1" thickBot="1">
      <c r="A49" s="32" t="s">
        <v>23</v>
      </c>
      <c r="B49" s="21" t="s">
        <v>280</v>
      </c>
      <c r="C49" s="274">
        <f>SUM(C50:C54)</f>
        <v>5580000</v>
      </c>
    </row>
    <row r="50" spans="1:3" s="88" customFormat="1" ht="12" customHeight="1">
      <c r="A50" s="411" t="s">
        <v>93</v>
      </c>
      <c r="B50" s="392" t="s">
        <v>284</v>
      </c>
      <c r="C50" s="436"/>
    </row>
    <row r="51" spans="1:3" s="88" customFormat="1" ht="12" customHeight="1">
      <c r="A51" s="412" t="s">
        <v>94</v>
      </c>
      <c r="B51" s="393" t="s">
        <v>285</v>
      </c>
      <c r="C51" s="279">
        <v>5580000</v>
      </c>
    </row>
    <row r="52" spans="1:3" s="88" customFormat="1" ht="12" customHeight="1">
      <c r="A52" s="412" t="s">
        <v>281</v>
      </c>
      <c r="B52" s="393" t="s">
        <v>286</v>
      </c>
      <c r="C52" s="279"/>
    </row>
    <row r="53" spans="1:3" s="88" customFormat="1" ht="12" customHeight="1">
      <c r="A53" s="412" t="s">
        <v>282</v>
      </c>
      <c r="B53" s="393" t="s">
        <v>287</v>
      </c>
      <c r="C53" s="279"/>
    </row>
    <row r="54" spans="1:3" s="88" customFormat="1" ht="12" customHeight="1" thickBot="1">
      <c r="A54" s="413" t="s">
        <v>283</v>
      </c>
      <c r="B54" s="394" t="s">
        <v>288</v>
      </c>
      <c r="C54" s="380"/>
    </row>
    <row r="55" spans="1:3" s="88" customFormat="1" ht="12" customHeight="1" thickBot="1">
      <c r="A55" s="32" t="s">
        <v>176</v>
      </c>
      <c r="B55" s="21" t="s">
        <v>289</v>
      </c>
      <c r="C55" s="274">
        <f>SUM(C56:C58)</f>
        <v>0</v>
      </c>
    </row>
    <row r="56" spans="1:3" s="88" customFormat="1" ht="12" customHeight="1">
      <c r="A56" s="411" t="s">
        <v>95</v>
      </c>
      <c r="B56" s="392" t="s">
        <v>290</v>
      </c>
      <c r="C56" s="277"/>
    </row>
    <row r="57" spans="1:3" s="88" customFormat="1" ht="12" customHeight="1">
      <c r="A57" s="412" t="s">
        <v>96</v>
      </c>
      <c r="B57" s="393" t="s">
        <v>418</v>
      </c>
      <c r="C57" s="276"/>
    </row>
    <row r="58" spans="1:3" s="88" customFormat="1" ht="12" customHeight="1">
      <c r="A58" s="412" t="s">
        <v>293</v>
      </c>
      <c r="B58" s="393" t="s">
        <v>291</v>
      </c>
      <c r="C58" s="276"/>
    </row>
    <row r="59" spans="1:3" s="88" customFormat="1" ht="12" customHeight="1" thickBot="1">
      <c r="A59" s="413" t="s">
        <v>294</v>
      </c>
      <c r="B59" s="394" t="s">
        <v>292</v>
      </c>
      <c r="C59" s="278"/>
    </row>
    <row r="60" spans="1:3" s="88" customFormat="1" ht="12" customHeight="1" thickBot="1">
      <c r="A60" s="32" t="s">
        <v>25</v>
      </c>
      <c r="B60" s="269" t="s">
        <v>295</v>
      </c>
      <c r="C60" s="274">
        <f>SUM(C61:C63)</f>
        <v>0</v>
      </c>
    </row>
    <row r="61" spans="1:3" s="88" customFormat="1" ht="12" customHeight="1">
      <c r="A61" s="411" t="s">
        <v>177</v>
      </c>
      <c r="B61" s="392" t="s">
        <v>297</v>
      </c>
      <c r="C61" s="279"/>
    </row>
    <row r="62" spans="1:3" s="88" customFormat="1" ht="12" customHeight="1">
      <c r="A62" s="412" t="s">
        <v>178</v>
      </c>
      <c r="B62" s="393" t="s">
        <v>419</v>
      </c>
      <c r="C62" s="279"/>
    </row>
    <row r="63" spans="1:3" s="88" customFormat="1" ht="12" customHeight="1">
      <c r="A63" s="412" t="s">
        <v>226</v>
      </c>
      <c r="B63" s="393" t="s">
        <v>298</v>
      </c>
      <c r="C63" s="279"/>
    </row>
    <row r="64" spans="1:3" s="88" customFormat="1" ht="12" customHeight="1" thickBot="1">
      <c r="A64" s="413" t="s">
        <v>296</v>
      </c>
      <c r="B64" s="394" t="s">
        <v>299</v>
      </c>
      <c r="C64" s="279"/>
    </row>
    <row r="65" spans="1:3" s="88" customFormat="1" ht="12" customHeight="1" thickBot="1">
      <c r="A65" s="32" t="s">
        <v>26</v>
      </c>
      <c r="B65" s="21" t="s">
        <v>300</v>
      </c>
      <c r="C65" s="280">
        <f>+C8+C15+C22+C29+C37+C49+C55+C60</f>
        <v>533233635</v>
      </c>
    </row>
    <row r="66" spans="1:3" s="88" customFormat="1" ht="12" customHeight="1" thickBot="1">
      <c r="A66" s="414" t="s">
        <v>387</v>
      </c>
      <c r="B66" s="269" t="s">
        <v>302</v>
      </c>
      <c r="C66" s="274">
        <f>SUM(C67:C69)</f>
        <v>0</v>
      </c>
    </row>
    <row r="67" spans="1:3" s="88" customFormat="1" ht="12" customHeight="1">
      <c r="A67" s="411" t="s">
        <v>330</v>
      </c>
      <c r="B67" s="392" t="s">
        <v>303</v>
      </c>
      <c r="C67" s="279"/>
    </row>
    <row r="68" spans="1:3" s="88" customFormat="1" ht="12" customHeight="1">
      <c r="A68" s="412" t="s">
        <v>339</v>
      </c>
      <c r="B68" s="393" t="s">
        <v>304</v>
      </c>
      <c r="C68" s="279"/>
    </row>
    <row r="69" spans="1:3" s="88" customFormat="1" ht="12" customHeight="1" thickBot="1">
      <c r="A69" s="413" t="s">
        <v>340</v>
      </c>
      <c r="B69" s="395" t="s">
        <v>453</v>
      </c>
      <c r="C69" s="279"/>
    </row>
    <row r="70" spans="1:3" s="88" customFormat="1" ht="12" customHeight="1" thickBot="1">
      <c r="A70" s="414" t="s">
        <v>306</v>
      </c>
      <c r="B70" s="269" t="s">
        <v>307</v>
      </c>
      <c r="C70" s="274">
        <f>SUM(C71:C74)</f>
        <v>0</v>
      </c>
    </row>
    <row r="71" spans="1:3" s="88" customFormat="1" ht="12" customHeight="1">
      <c r="A71" s="411" t="s">
        <v>146</v>
      </c>
      <c r="B71" s="392" t="s">
        <v>308</v>
      </c>
      <c r="C71" s="279"/>
    </row>
    <row r="72" spans="1:3" s="88" customFormat="1" ht="12" customHeight="1">
      <c r="A72" s="412" t="s">
        <v>147</v>
      </c>
      <c r="B72" s="393" t="s">
        <v>558</v>
      </c>
      <c r="C72" s="279"/>
    </row>
    <row r="73" spans="1:3" s="88" customFormat="1" ht="12" customHeight="1">
      <c r="A73" s="412" t="s">
        <v>331</v>
      </c>
      <c r="B73" s="393" t="s">
        <v>309</v>
      </c>
      <c r="C73" s="279"/>
    </row>
    <row r="74" spans="1:3" s="88" customFormat="1" ht="12" customHeight="1">
      <c r="A74" s="412" t="s">
        <v>332</v>
      </c>
      <c r="B74" s="270" t="s">
        <v>559</v>
      </c>
      <c r="C74" s="279"/>
    </row>
    <row r="75" spans="1:3" s="88" customFormat="1" ht="12" customHeight="1" thickBot="1">
      <c r="A75" s="418" t="s">
        <v>310</v>
      </c>
      <c r="B75" s="548" t="s">
        <v>311</v>
      </c>
      <c r="C75" s="460">
        <f>SUM(C76:C77)</f>
        <v>272228963</v>
      </c>
    </row>
    <row r="76" spans="1:3" s="88" customFormat="1" ht="12" customHeight="1">
      <c r="A76" s="411" t="s">
        <v>333</v>
      </c>
      <c r="B76" s="392" t="s">
        <v>312</v>
      </c>
      <c r="C76" s="279">
        <v>272228963</v>
      </c>
    </row>
    <row r="77" spans="1:3" s="88" customFormat="1" ht="12" customHeight="1" thickBot="1">
      <c r="A77" s="413" t="s">
        <v>334</v>
      </c>
      <c r="B77" s="394" t="s">
        <v>313</v>
      </c>
      <c r="C77" s="279"/>
    </row>
    <row r="78" spans="1:3" s="87" customFormat="1" ht="12" customHeight="1" thickBot="1">
      <c r="A78" s="414" t="s">
        <v>314</v>
      </c>
      <c r="B78" s="269" t="s">
        <v>315</v>
      </c>
      <c r="C78" s="274">
        <f>SUM(C79:C81)</f>
        <v>0</v>
      </c>
    </row>
    <row r="79" spans="1:3" s="88" customFormat="1" ht="12" customHeight="1">
      <c r="A79" s="411" t="s">
        <v>335</v>
      </c>
      <c r="B79" s="392" t="s">
        <v>316</v>
      </c>
      <c r="C79" s="279"/>
    </row>
    <row r="80" spans="1:3" s="88" customFormat="1" ht="12" customHeight="1">
      <c r="A80" s="412" t="s">
        <v>336</v>
      </c>
      <c r="B80" s="393" t="s">
        <v>317</v>
      </c>
      <c r="C80" s="279"/>
    </row>
    <row r="81" spans="1:3" s="88" customFormat="1" ht="12" customHeight="1" thickBot="1">
      <c r="A81" s="413" t="s">
        <v>337</v>
      </c>
      <c r="B81" s="394" t="s">
        <v>560</v>
      </c>
      <c r="C81" s="279"/>
    </row>
    <row r="82" spans="1:3" s="88" customFormat="1" ht="12" customHeight="1" thickBot="1">
      <c r="A82" s="414" t="s">
        <v>318</v>
      </c>
      <c r="B82" s="269" t="s">
        <v>338</v>
      </c>
      <c r="C82" s="274">
        <f>SUM(C83:C86)</f>
        <v>0</v>
      </c>
    </row>
    <row r="83" spans="1:3" s="88" customFormat="1" ht="12" customHeight="1">
      <c r="A83" s="415" t="s">
        <v>319</v>
      </c>
      <c r="B83" s="392" t="s">
        <v>320</v>
      </c>
      <c r="C83" s="279"/>
    </row>
    <row r="84" spans="1:3" s="88" customFormat="1" ht="12" customHeight="1">
      <c r="A84" s="416" t="s">
        <v>321</v>
      </c>
      <c r="B84" s="393" t="s">
        <v>322</v>
      </c>
      <c r="C84" s="279"/>
    </row>
    <row r="85" spans="1:3" s="88" customFormat="1" ht="12" customHeight="1">
      <c r="A85" s="416" t="s">
        <v>323</v>
      </c>
      <c r="B85" s="393" t="s">
        <v>324</v>
      </c>
      <c r="C85" s="279"/>
    </row>
    <row r="86" spans="1:3" s="87" customFormat="1" ht="12" customHeight="1" thickBot="1">
      <c r="A86" s="417" t="s">
        <v>325</v>
      </c>
      <c r="B86" s="394" t="s">
        <v>326</v>
      </c>
      <c r="C86" s="279"/>
    </row>
    <row r="87" spans="1:3" s="87" customFormat="1" ht="12" customHeight="1" thickBot="1">
      <c r="A87" s="414" t="s">
        <v>327</v>
      </c>
      <c r="B87" s="269" t="s">
        <v>467</v>
      </c>
      <c r="C87" s="437"/>
    </row>
    <row r="88" spans="1:3" s="87" customFormat="1" ht="12" customHeight="1" thickBot="1">
      <c r="A88" s="414" t="s">
        <v>499</v>
      </c>
      <c r="B88" s="269" t="s">
        <v>328</v>
      </c>
      <c r="C88" s="437"/>
    </row>
    <row r="89" spans="1:3" s="87" customFormat="1" ht="12" customHeight="1" thickBot="1">
      <c r="A89" s="414" t="s">
        <v>500</v>
      </c>
      <c r="B89" s="399" t="s">
        <v>470</v>
      </c>
      <c r="C89" s="280">
        <f>+C66+C70+C75+C78+C82+C88+C87</f>
        <v>272228963</v>
      </c>
    </row>
    <row r="90" spans="1:3" s="87" customFormat="1" ht="12" customHeight="1" thickBot="1">
      <c r="A90" s="418" t="s">
        <v>501</v>
      </c>
      <c r="B90" s="400" t="s">
        <v>502</v>
      </c>
      <c r="C90" s="280">
        <f>+C65+C89</f>
        <v>805462598</v>
      </c>
    </row>
    <row r="91" spans="1:3" s="88" customFormat="1" ht="6.75" customHeight="1" thickBot="1">
      <c r="A91" s="217"/>
      <c r="B91" s="218"/>
      <c r="C91" s="339"/>
    </row>
    <row r="92" spans="1:3" s="68" customFormat="1" ht="16.5" customHeight="1" thickBot="1">
      <c r="A92" s="221"/>
      <c r="B92" s="222" t="s">
        <v>57</v>
      </c>
      <c r="C92" s="341"/>
    </row>
    <row r="93" spans="1:3" s="89" customFormat="1" ht="12" customHeight="1" thickBot="1">
      <c r="A93" s="386" t="s">
        <v>18</v>
      </c>
      <c r="B93" s="28" t="s">
        <v>506</v>
      </c>
      <c r="C93" s="273">
        <f>+C94+C95+C96+C97+C98+C111</f>
        <v>307365306</v>
      </c>
    </row>
    <row r="94" spans="1:3" ht="12" customHeight="1">
      <c r="A94" s="419" t="s">
        <v>97</v>
      </c>
      <c r="B94" s="10" t="s">
        <v>49</v>
      </c>
      <c r="C94" s="275">
        <v>61181505</v>
      </c>
    </row>
    <row r="95" spans="1:3" ht="12" customHeight="1">
      <c r="A95" s="412" t="s">
        <v>98</v>
      </c>
      <c r="B95" s="8" t="s">
        <v>179</v>
      </c>
      <c r="C95" s="276">
        <v>11612475</v>
      </c>
    </row>
    <row r="96" spans="1:3" ht="12" customHeight="1">
      <c r="A96" s="412" t="s">
        <v>99</v>
      </c>
      <c r="B96" s="8" t="s">
        <v>137</v>
      </c>
      <c r="C96" s="278">
        <v>145168250</v>
      </c>
    </row>
    <row r="97" spans="1:3" ht="12" customHeight="1">
      <c r="A97" s="412" t="s">
        <v>100</v>
      </c>
      <c r="B97" s="11" t="s">
        <v>180</v>
      </c>
      <c r="C97" s="278">
        <v>300000</v>
      </c>
    </row>
    <row r="98" spans="1:3" ht="12" customHeight="1">
      <c r="A98" s="412" t="s">
        <v>111</v>
      </c>
      <c r="B98" s="19" t="s">
        <v>181</v>
      </c>
      <c r="C98" s="278">
        <v>78882842</v>
      </c>
    </row>
    <row r="99" spans="1:3" ht="12" customHeight="1">
      <c r="A99" s="412" t="s">
        <v>101</v>
      </c>
      <c r="B99" s="8" t="s">
        <v>503</v>
      </c>
      <c r="C99" s="278"/>
    </row>
    <row r="100" spans="1:3" ht="12" customHeight="1">
      <c r="A100" s="412" t="s">
        <v>102</v>
      </c>
      <c r="B100" s="136" t="s">
        <v>433</v>
      </c>
      <c r="C100" s="278"/>
    </row>
    <row r="101" spans="1:3" ht="12" customHeight="1">
      <c r="A101" s="412" t="s">
        <v>112</v>
      </c>
      <c r="B101" s="136" t="s">
        <v>432</v>
      </c>
      <c r="C101" s="278"/>
    </row>
    <row r="102" spans="1:3" ht="12" customHeight="1">
      <c r="A102" s="412" t="s">
        <v>113</v>
      </c>
      <c r="B102" s="136" t="s">
        <v>344</v>
      </c>
      <c r="C102" s="278"/>
    </row>
    <row r="103" spans="1:3" ht="12" customHeight="1">
      <c r="A103" s="412" t="s">
        <v>114</v>
      </c>
      <c r="B103" s="137" t="s">
        <v>345</v>
      </c>
      <c r="C103" s="278"/>
    </row>
    <row r="104" spans="1:3" ht="12" customHeight="1">
      <c r="A104" s="412" t="s">
        <v>115</v>
      </c>
      <c r="B104" s="137" t="s">
        <v>346</v>
      </c>
      <c r="C104" s="278">
        <v>58572842</v>
      </c>
    </row>
    <row r="105" spans="1:3" ht="12" customHeight="1">
      <c r="A105" s="412" t="s">
        <v>117</v>
      </c>
      <c r="B105" s="136" t="s">
        <v>347</v>
      </c>
      <c r="C105" s="278"/>
    </row>
    <row r="106" spans="1:3" ht="12" customHeight="1">
      <c r="A106" s="412" t="s">
        <v>182</v>
      </c>
      <c r="B106" s="136" t="s">
        <v>348</v>
      </c>
      <c r="C106" s="278"/>
    </row>
    <row r="107" spans="1:3" ht="12" customHeight="1">
      <c r="A107" s="412" t="s">
        <v>342</v>
      </c>
      <c r="B107" s="137" t="s">
        <v>349</v>
      </c>
      <c r="C107" s="278"/>
    </row>
    <row r="108" spans="1:3" ht="12" customHeight="1">
      <c r="A108" s="420" t="s">
        <v>343</v>
      </c>
      <c r="B108" s="138" t="s">
        <v>350</v>
      </c>
      <c r="C108" s="278"/>
    </row>
    <row r="109" spans="1:3" ht="12" customHeight="1">
      <c r="A109" s="412" t="s">
        <v>430</v>
      </c>
      <c r="B109" s="138" t="s">
        <v>351</v>
      </c>
      <c r="C109" s="278"/>
    </row>
    <row r="110" spans="1:3" ht="12" customHeight="1">
      <c r="A110" s="412" t="s">
        <v>431</v>
      </c>
      <c r="B110" s="137" t="s">
        <v>352</v>
      </c>
      <c r="C110" s="276">
        <v>20310000</v>
      </c>
    </row>
    <row r="111" spans="1:3" ht="12" customHeight="1">
      <c r="A111" s="412" t="s">
        <v>435</v>
      </c>
      <c r="B111" s="11" t="s">
        <v>50</v>
      </c>
      <c r="C111" s="276">
        <v>10220234</v>
      </c>
    </row>
    <row r="112" spans="1:3" ht="12" customHeight="1">
      <c r="A112" s="413" t="s">
        <v>436</v>
      </c>
      <c r="B112" s="8" t="s">
        <v>504</v>
      </c>
      <c r="C112" s="278"/>
    </row>
    <row r="113" spans="1:3" ht="12" customHeight="1" thickBot="1">
      <c r="A113" s="421" t="s">
        <v>437</v>
      </c>
      <c r="B113" s="139" t="s">
        <v>505</v>
      </c>
      <c r="C113" s="282"/>
    </row>
    <row r="114" spans="1:3" ht="12" customHeight="1" thickBot="1">
      <c r="A114" s="32" t="s">
        <v>19</v>
      </c>
      <c r="B114" s="27" t="s">
        <v>353</v>
      </c>
      <c r="C114" s="274">
        <f>+C115+C117+C119</f>
        <v>464078667</v>
      </c>
    </row>
    <row r="115" spans="1:3" ht="12" customHeight="1">
      <c r="A115" s="411" t="s">
        <v>103</v>
      </c>
      <c r="B115" s="8" t="s">
        <v>225</v>
      </c>
      <c r="C115" s="277">
        <v>39306500</v>
      </c>
    </row>
    <row r="116" spans="1:3" ht="12" customHeight="1">
      <c r="A116" s="411" t="s">
        <v>104</v>
      </c>
      <c r="B116" s="12" t="s">
        <v>357</v>
      </c>
      <c r="C116" s="277"/>
    </row>
    <row r="117" spans="1:3" ht="12" customHeight="1">
      <c r="A117" s="411" t="s">
        <v>105</v>
      </c>
      <c r="B117" s="12" t="s">
        <v>183</v>
      </c>
      <c r="C117" s="276">
        <v>424772167</v>
      </c>
    </row>
    <row r="118" spans="1:3" ht="12" customHeight="1">
      <c r="A118" s="411" t="s">
        <v>106</v>
      </c>
      <c r="B118" s="12" t="s">
        <v>358</v>
      </c>
      <c r="C118" s="245"/>
    </row>
    <row r="119" spans="1:3" ht="12" customHeight="1">
      <c r="A119" s="411" t="s">
        <v>107</v>
      </c>
      <c r="B119" s="271" t="s">
        <v>227</v>
      </c>
      <c r="C119" s="245"/>
    </row>
    <row r="120" spans="1:3" ht="12" customHeight="1">
      <c r="A120" s="411" t="s">
        <v>116</v>
      </c>
      <c r="B120" s="270" t="s">
        <v>420</v>
      </c>
      <c r="C120" s="245"/>
    </row>
    <row r="121" spans="1:3" ht="12" customHeight="1">
      <c r="A121" s="411" t="s">
        <v>118</v>
      </c>
      <c r="B121" s="388" t="s">
        <v>363</v>
      </c>
      <c r="C121" s="245"/>
    </row>
    <row r="122" spans="1:3" ht="12" customHeight="1">
      <c r="A122" s="411" t="s">
        <v>184</v>
      </c>
      <c r="B122" s="137" t="s">
        <v>346</v>
      </c>
      <c r="C122" s="245"/>
    </row>
    <row r="123" spans="1:3" ht="12" customHeight="1">
      <c r="A123" s="411" t="s">
        <v>185</v>
      </c>
      <c r="B123" s="137" t="s">
        <v>362</v>
      </c>
      <c r="C123" s="245"/>
    </row>
    <row r="124" spans="1:3" ht="12" customHeight="1">
      <c r="A124" s="411" t="s">
        <v>186</v>
      </c>
      <c r="B124" s="137" t="s">
        <v>361</v>
      </c>
      <c r="C124" s="245"/>
    </row>
    <row r="125" spans="1:3" ht="12" customHeight="1">
      <c r="A125" s="411" t="s">
        <v>354</v>
      </c>
      <c r="B125" s="137" t="s">
        <v>349</v>
      </c>
      <c r="C125" s="245"/>
    </row>
    <row r="126" spans="1:3" ht="12" customHeight="1">
      <c r="A126" s="411" t="s">
        <v>355</v>
      </c>
      <c r="B126" s="137" t="s">
        <v>360</v>
      </c>
      <c r="C126" s="245"/>
    </row>
    <row r="127" spans="1:3" ht="12" customHeight="1" thickBot="1">
      <c r="A127" s="420" t="s">
        <v>356</v>
      </c>
      <c r="B127" s="137" t="s">
        <v>359</v>
      </c>
      <c r="C127" s="247"/>
    </row>
    <row r="128" spans="1:3" ht="12" customHeight="1" thickBot="1">
      <c r="A128" s="32" t="s">
        <v>20</v>
      </c>
      <c r="B128" s="118" t="s">
        <v>440</v>
      </c>
      <c r="C128" s="274">
        <f>+C93+C114</f>
        <v>771443973</v>
      </c>
    </row>
    <row r="129" spans="1:3" ht="12" customHeight="1" thickBot="1">
      <c r="A129" s="32" t="s">
        <v>21</v>
      </c>
      <c r="B129" s="118" t="s">
        <v>441</v>
      </c>
      <c r="C129" s="274">
        <f>+C130+C131+C132</f>
        <v>0</v>
      </c>
    </row>
    <row r="130" spans="1:3" s="89" customFormat="1" ht="12" customHeight="1">
      <c r="A130" s="411" t="s">
        <v>263</v>
      </c>
      <c r="B130" s="9" t="s">
        <v>509</v>
      </c>
      <c r="C130" s="245"/>
    </row>
    <row r="131" spans="1:3" ht="12" customHeight="1">
      <c r="A131" s="411" t="s">
        <v>264</v>
      </c>
      <c r="B131" s="9" t="s">
        <v>449</v>
      </c>
      <c r="C131" s="245"/>
    </row>
    <row r="132" spans="1:3" ht="12" customHeight="1" thickBot="1">
      <c r="A132" s="420" t="s">
        <v>265</v>
      </c>
      <c r="B132" s="7" t="s">
        <v>508</v>
      </c>
      <c r="C132" s="245"/>
    </row>
    <row r="133" spans="1:3" ht="12" customHeight="1" thickBot="1">
      <c r="A133" s="32" t="s">
        <v>22</v>
      </c>
      <c r="B133" s="118" t="s">
        <v>442</v>
      </c>
      <c r="C133" s="274">
        <f>+C134+C135+C136+C137+C138+C139</f>
        <v>0</v>
      </c>
    </row>
    <row r="134" spans="1:3" ht="12" customHeight="1">
      <c r="A134" s="411" t="s">
        <v>90</v>
      </c>
      <c r="B134" s="9" t="s">
        <v>451</v>
      </c>
      <c r="C134" s="245"/>
    </row>
    <row r="135" spans="1:3" ht="12" customHeight="1">
      <c r="A135" s="411" t="s">
        <v>91</v>
      </c>
      <c r="B135" s="9" t="s">
        <v>443</v>
      </c>
      <c r="C135" s="245"/>
    </row>
    <row r="136" spans="1:3" ht="12" customHeight="1">
      <c r="A136" s="411" t="s">
        <v>92</v>
      </c>
      <c r="B136" s="9" t="s">
        <v>444</v>
      </c>
      <c r="C136" s="245"/>
    </row>
    <row r="137" spans="1:3" ht="12" customHeight="1">
      <c r="A137" s="411" t="s">
        <v>171</v>
      </c>
      <c r="B137" s="9" t="s">
        <v>507</v>
      </c>
      <c r="C137" s="245"/>
    </row>
    <row r="138" spans="1:3" ht="12" customHeight="1">
      <c r="A138" s="411" t="s">
        <v>172</v>
      </c>
      <c r="B138" s="9" t="s">
        <v>446</v>
      </c>
      <c r="C138" s="245"/>
    </row>
    <row r="139" spans="1:3" s="89" customFormat="1" ht="12" customHeight="1" thickBot="1">
      <c r="A139" s="420" t="s">
        <v>173</v>
      </c>
      <c r="B139" s="7" t="s">
        <v>447</v>
      </c>
      <c r="C139" s="245"/>
    </row>
    <row r="140" spans="1:11" ht="12" customHeight="1" thickBot="1">
      <c r="A140" s="32" t="s">
        <v>23</v>
      </c>
      <c r="B140" s="118" t="s">
        <v>530</v>
      </c>
      <c r="C140" s="280">
        <f>+C141+C142+C144+C145+C143</f>
        <v>34018625</v>
      </c>
      <c r="K140" s="228"/>
    </row>
    <row r="141" spans="1:3" ht="12.75">
      <c r="A141" s="411" t="s">
        <v>93</v>
      </c>
      <c r="B141" s="9" t="s">
        <v>364</v>
      </c>
      <c r="C141" s="245"/>
    </row>
    <row r="142" spans="1:3" ht="12" customHeight="1">
      <c r="A142" s="411" t="s">
        <v>94</v>
      </c>
      <c r="B142" s="9" t="s">
        <v>365</v>
      </c>
      <c r="C142" s="245">
        <v>3025027</v>
      </c>
    </row>
    <row r="143" spans="1:3" ht="12" customHeight="1">
      <c r="A143" s="411" t="s">
        <v>281</v>
      </c>
      <c r="B143" s="9" t="s">
        <v>529</v>
      </c>
      <c r="C143" s="245">
        <v>30993598</v>
      </c>
    </row>
    <row r="144" spans="1:3" s="89" customFormat="1" ht="12" customHeight="1">
      <c r="A144" s="411" t="s">
        <v>282</v>
      </c>
      <c r="B144" s="9" t="s">
        <v>456</v>
      </c>
      <c r="C144" s="245"/>
    </row>
    <row r="145" spans="1:3" s="89" customFormat="1" ht="12" customHeight="1" thickBot="1">
      <c r="A145" s="420" t="s">
        <v>283</v>
      </c>
      <c r="B145" s="7" t="s">
        <v>383</v>
      </c>
      <c r="C145" s="245"/>
    </row>
    <row r="146" spans="1:3" s="89" customFormat="1" ht="12" customHeight="1" thickBot="1">
      <c r="A146" s="32" t="s">
        <v>24</v>
      </c>
      <c r="B146" s="118" t="s">
        <v>457</v>
      </c>
      <c r="C146" s="283">
        <f>+C147+C148+C149+C150+C151</f>
        <v>0</v>
      </c>
    </row>
    <row r="147" spans="1:3" s="89" customFormat="1" ht="12" customHeight="1">
      <c r="A147" s="411" t="s">
        <v>95</v>
      </c>
      <c r="B147" s="9" t="s">
        <v>452</v>
      </c>
      <c r="C147" s="245"/>
    </row>
    <row r="148" spans="1:3" s="89" customFormat="1" ht="12" customHeight="1">
      <c r="A148" s="411" t="s">
        <v>96</v>
      </c>
      <c r="B148" s="9" t="s">
        <v>459</v>
      </c>
      <c r="C148" s="245"/>
    </row>
    <row r="149" spans="1:3" s="89" customFormat="1" ht="12" customHeight="1">
      <c r="A149" s="411" t="s">
        <v>293</v>
      </c>
      <c r="B149" s="9" t="s">
        <v>454</v>
      </c>
      <c r="C149" s="245"/>
    </row>
    <row r="150" spans="1:3" s="89" customFormat="1" ht="12" customHeight="1">
      <c r="A150" s="411" t="s">
        <v>294</v>
      </c>
      <c r="B150" s="9" t="s">
        <v>510</v>
      </c>
      <c r="C150" s="245"/>
    </row>
    <row r="151" spans="1:3" ht="12.75" customHeight="1" thickBot="1">
      <c r="A151" s="420" t="s">
        <v>458</v>
      </c>
      <c r="B151" s="7" t="s">
        <v>461</v>
      </c>
      <c r="C151" s="247"/>
    </row>
    <row r="152" spans="1:3" ht="12.75" customHeight="1" thickBot="1">
      <c r="A152" s="465" t="s">
        <v>25</v>
      </c>
      <c r="B152" s="118" t="s">
        <v>462</v>
      </c>
      <c r="C152" s="283"/>
    </row>
    <row r="153" spans="1:3" ht="12.75" customHeight="1" thickBot="1">
      <c r="A153" s="465" t="s">
        <v>26</v>
      </c>
      <c r="B153" s="118" t="s">
        <v>463</v>
      </c>
      <c r="C153" s="283"/>
    </row>
    <row r="154" spans="1:3" ht="12" customHeight="1" thickBot="1">
      <c r="A154" s="32" t="s">
        <v>27</v>
      </c>
      <c r="B154" s="118" t="s">
        <v>465</v>
      </c>
      <c r="C154" s="402">
        <f>+C129+C133+C140+C146+C152+C153</f>
        <v>34018625</v>
      </c>
    </row>
    <row r="155" spans="1:3" ht="15" customHeight="1" thickBot="1">
      <c r="A155" s="422" t="s">
        <v>28</v>
      </c>
      <c r="B155" s="357" t="s">
        <v>464</v>
      </c>
      <c r="C155" s="402">
        <f>+C128+C154</f>
        <v>805462598</v>
      </c>
    </row>
    <row r="156" spans="1:3" ht="13.5" thickBot="1">
      <c r="A156" s="365"/>
      <c r="B156" s="366"/>
      <c r="C156" s="588">
        <f>C90-C155</f>
        <v>0</v>
      </c>
    </row>
    <row r="157" spans="1:3" ht="15" customHeight="1" thickBot="1">
      <c r="A157" s="226" t="s">
        <v>511</v>
      </c>
      <c r="B157" s="227"/>
      <c r="C157" s="115">
        <v>21</v>
      </c>
    </row>
    <row r="158" spans="1:3" ht="14.25" customHeight="1" thickBot="1">
      <c r="A158" s="226" t="s">
        <v>201</v>
      </c>
      <c r="B158" s="227"/>
      <c r="C158" s="115"/>
    </row>
    <row r="159" spans="1:3" ht="12.75">
      <c r="A159" s="585"/>
      <c r="B159" s="586"/>
      <c r="C159" s="633"/>
    </row>
    <row r="160" spans="1:2" ht="12.75">
      <c r="A160" s="585"/>
      <c r="B160" s="586"/>
    </row>
    <row r="161" spans="1:3" ht="12.75">
      <c r="A161" s="585"/>
      <c r="B161" s="586"/>
      <c r="C161" s="587"/>
    </row>
    <row r="162" spans="1:3" ht="12.75">
      <c r="A162" s="585"/>
      <c r="B162" s="586"/>
      <c r="C162" s="587"/>
    </row>
    <row r="163" spans="1:3" ht="12.75">
      <c r="A163" s="585"/>
      <c r="B163" s="586"/>
      <c r="C163" s="587"/>
    </row>
    <row r="164" spans="1:3" ht="12.75">
      <c r="A164" s="585"/>
      <c r="B164" s="586"/>
      <c r="C164" s="587"/>
    </row>
    <row r="165" spans="1:3" ht="12.75">
      <c r="A165" s="585"/>
      <c r="B165" s="586"/>
      <c r="C165" s="587"/>
    </row>
    <row r="166" spans="1:3" ht="12.75">
      <c r="A166" s="585"/>
      <c r="B166" s="586"/>
      <c r="C166" s="587"/>
    </row>
    <row r="167" spans="1:3" ht="12.75">
      <c r="A167" s="585"/>
      <c r="B167" s="586"/>
      <c r="C167" s="587"/>
    </row>
    <row r="168" spans="1:3" ht="12.75">
      <c r="A168" s="585"/>
      <c r="B168" s="586"/>
      <c r="C168" s="587"/>
    </row>
    <row r="169" spans="1:3" ht="12.75">
      <c r="A169" s="585"/>
      <c r="B169" s="586"/>
      <c r="C169" s="587"/>
    </row>
    <row r="170" spans="1:3" ht="12.75">
      <c r="A170" s="585"/>
      <c r="B170" s="586"/>
      <c r="C170" s="587"/>
    </row>
    <row r="171" spans="1:3" ht="12.75">
      <c r="A171" s="585"/>
      <c r="B171" s="586"/>
      <c r="C171" s="587"/>
    </row>
    <row r="172" spans="1:3" ht="12.75">
      <c r="A172" s="585"/>
      <c r="B172" s="586"/>
      <c r="C172" s="587"/>
    </row>
    <row r="173" spans="1:3" ht="12.75">
      <c r="A173" s="585"/>
      <c r="B173" s="586"/>
      <c r="C173" s="587"/>
    </row>
    <row r="174" spans="1:3" ht="12.75">
      <c r="A174" s="585"/>
      <c r="B174" s="586"/>
      <c r="C174" s="587"/>
    </row>
    <row r="175" spans="1:3" ht="12.75">
      <c r="A175" s="585"/>
      <c r="B175" s="586"/>
      <c r="C175" s="587"/>
    </row>
    <row r="176" spans="1:3" ht="12.75">
      <c r="A176" s="585"/>
      <c r="B176" s="586"/>
      <c r="C176" s="587"/>
    </row>
    <row r="177" spans="1:3" ht="12.75">
      <c r="A177" s="585"/>
      <c r="B177" s="586"/>
      <c r="C177" s="587"/>
    </row>
    <row r="178" spans="1:3" ht="12.75">
      <c r="A178" s="585"/>
      <c r="B178" s="586"/>
      <c r="C178" s="587"/>
    </row>
    <row r="179" spans="1:3" ht="12.75">
      <c r="A179" s="585"/>
      <c r="B179" s="586"/>
      <c r="C179" s="587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8"/>
  <sheetViews>
    <sheetView zoomScale="120" zoomScaleNormal="120" zoomScaleSheetLayoutView="85" workbookViewId="0" topLeftCell="A1">
      <selection activeCell="C158" sqref="C158"/>
    </sheetView>
  </sheetViews>
  <sheetFormatPr defaultColWidth="9.00390625" defaultRowHeight="12.75"/>
  <cols>
    <col min="1" max="1" width="19.50390625" style="367" customWidth="1"/>
    <col min="2" max="2" width="72.00390625" style="368" customWidth="1"/>
    <col min="3" max="3" width="25.00390625" style="369" customWidth="1"/>
    <col min="4" max="16384" width="9.375" style="3" customWidth="1"/>
  </cols>
  <sheetData>
    <row r="1" spans="1:3" s="2" customFormat="1" ht="16.5" customHeight="1" thickBot="1">
      <c r="A1" s="566"/>
      <c r="B1" s="567"/>
      <c r="C1" s="563" t="str">
        <f>CONCATENATE("9.1.1. melléklet ",ALAPADATOK!A7," ",ALAPADATOK!B7," ",ALAPADATOK!C7," ",ALAPADATOK!D7," ",ALAPADATOK!E7," ",ALAPADATOK!F7," ",ALAPADATOK!G7," ",ALAPADATOK!H7)</f>
        <v>9.1.1. melléklet a 2 / 2020 ( II. 21. ) önkormányzati rendelethez</v>
      </c>
    </row>
    <row r="2" spans="1:3" s="85" customFormat="1" ht="21" customHeight="1">
      <c r="A2" s="568" t="s">
        <v>61</v>
      </c>
      <c r="B2" s="569" t="str">
        <f>CONCATENATE(ALAPADATOK!A3)</f>
        <v>BALATONGYÖRÖK KÖZSÉG ÖNKORMÁNYZATA</v>
      </c>
      <c r="C2" s="570" t="s">
        <v>54</v>
      </c>
    </row>
    <row r="3" spans="1:3" s="85" customFormat="1" ht="16.5" thickBot="1">
      <c r="A3" s="571" t="s">
        <v>198</v>
      </c>
      <c r="B3" s="572" t="s">
        <v>421</v>
      </c>
      <c r="C3" s="573" t="s">
        <v>59</v>
      </c>
    </row>
    <row r="4" spans="1:3" s="86" customFormat="1" ht="22.5" customHeight="1" thickBot="1">
      <c r="A4" s="574"/>
      <c r="B4" s="574"/>
      <c r="C4" s="575" t="str">
        <f>'KV_9.1.sz.mell'!C4</f>
        <v>Forintban!</v>
      </c>
    </row>
    <row r="5" spans="1:3" ht="13.5" thickBot="1">
      <c r="A5" s="576" t="s">
        <v>200</v>
      </c>
      <c r="B5" s="577" t="s">
        <v>551</v>
      </c>
      <c r="C5" s="578" t="s">
        <v>55</v>
      </c>
    </row>
    <row r="6" spans="1:3" s="68" customFormat="1" ht="12.75" customHeight="1" thickBot="1">
      <c r="A6" s="579"/>
      <c r="B6" s="580" t="s">
        <v>485</v>
      </c>
      <c r="C6" s="581" t="s">
        <v>486</v>
      </c>
    </row>
    <row r="7" spans="1:3" s="68" customFormat="1" ht="15.75" customHeight="1" thickBot="1">
      <c r="A7" s="211"/>
      <c r="B7" s="212" t="s">
        <v>56</v>
      </c>
      <c r="C7" s="334"/>
    </row>
    <row r="8" spans="1:3" s="68" customFormat="1" ht="12" customHeight="1" thickBot="1">
      <c r="A8" s="32" t="s">
        <v>18</v>
      </c>
      <c r="B8" s="21" t="s">
        <v>247</v>
      </c>
      <c r="C8" s="274">
        <f>+C9+C10+C11+C12+C13+C14</f>
        <v>75625669</v>
      </c>
    </row>
    <row r="9" spans="1:3" s="87" customFormat="1" ht="12" customHeight="1">
      <c r="A9" s="411" t="s">
        <v>97</v>
      </c>
      <c r="B9" s="392" t="s">
        <v>248</v>
      </c>
      <c r="C9" s="277">
        <v>63205646</v>
      </c>
    </row>
    <row r="10" spans="1:3" s="88" customFormat="1" ht="12" customHeight="1">
      <c r="A10" s="412" t="s">
        <v>98</v>
      </c>
      <c r="B10" s="393" t="s">
        <v>249</v>
      </c>
      <c r="C10" s="276"/>
    </row>
    <row r="11" spans="1:3" s="88" customFormat="1" ht="12" customHeight="1">
      <c r="A11" s="412" t="s">
        <v>99</v>
      </c>
      <c r="B11" s="393" t="s">
        <v>539</v>
      </c>
      <c r="C11" s="276">
        <v>10620023</v>
      </c>
    </row>
    <row r="12" spans="1:3" s="88" customFormat="1" ht="12" customHeight="1">
      <c r="A12" s="412" t="s">
        <v>100</v>
      </c>
      <c r="B12" s="393" t="s">
        <v>251</v>
      </c>
      <c r="C12" s="276">
        <v>1800000</v>
      </c>
    </row>
    <row r="13" spans="1:3" s="88" customFormat="1" ht="12" customHeight="1">
      <c r="A13" s="412" t="s">
        <v>145</v>
      </c>
      <c r="B13" s="393" t="s">
        <v>498</v>
      </c>
      <c r="C13" s="276"/>
    </row>
    <row r="14" spans="1:3" s="87" customFormat="1" ht="12" customHeight="1" thickBot="1">
      <c r="A14" s="413" t="s">
        <v>101</v>
      </c>
      <c r="B14" s="394" t="s">
        <v>425</v>
      </c>
      <c r="C14" s="276"/>
    </row>
    <row r="15" spans="1:3" s="87" customFormat="1" ht="12" customHeight="1" thickBot="1">
      <c r="A15" s="32" t="s">
        <v>19</v>
      </c>
      <c r="B15" s="269" t="s">
        <v>252</v>
      </c>
      <c r="C15" s="274">
        <f>+C16+C17+C18+C19+C20</f>
        <v>0</v>
      </c>
    </row>
    <row r="16" spans="1:3" s="87" customFormat="1" ht="12" customHeight="1">
      <c r="A16" s="411" t="s">
        <v>103</v>
      </c>
      <c r="B16" s="392" t="s">
        <v>253</v>
      </c>
      <c r="C16" s="277"/>
    </row>
    <row r="17" spans="1:3" s="87" customFormat="1" ht="12" customHeight="1">
      <c r="A17" s="412" t="s">
        <v>104</v>
      </c>
      <c r="B17" s="393" t="s">
        <v>254</v>
      </c>
      <c r="C17" s="276"/>
    </row>
    <row r="18" spans="1:3" s="87" customFormat="1" ht="12" customHeight="1">
      <c r="A18" s="412" t="s">
        <v>105</v>
      </c>
      <c r="B18" s="393" t="s">
        <v>414</v>
      </c>
      <c r="C18" s="276"/>
    </row>
    <row r="19" spans="1:3" s="87" customFormat="1" ht="12" customHeight="1">
      <c r="A19" s="412" t="s">
        <v>106</v>
      </c>
      <c r="B19" s="393" t="s">
        <v>415</v>
      </c>
      <c r="C19" s="276"/>
    </row>
    <row r="20" spans="1:3" s="87" customFormat="1" ht="12" customHeight="1">
      <c r="A20" s="412" t="s">
        <v>107</v>
      </c>
      <c r="B20" s="393" t="s">
        <v>255</v>
      </c>
      <c r="C20" s="276"/>
    </row>
    <row r="21" spans="1:3" s="88" customFormat="1" ht="12" customHeight="1" thickBot="1">
      <c r="A21" s="413" t="s">
        <v>116</v>
      </c>
      <c r="B21" s="394" t="s">
        <v>256</v>
      </c>
      <c r="C21" s="278"/>
    </row>
    <row r="22" spans="1:3" s="88" customFormat="1" ht="12" customHeight="1" thickBot="1">
      <c r="A22" s="32" t="s">
        <v>20</v>
      </c>
      <c r="B22" s="21" t="s">
        <v>257</v>
      </c>
      <c r="C22" s="274">
        <f>+C23+C24+C25+C26+C27</f>
        <v>75437138</v>
      </c>
    </row>
    <row r="23" spans="1:3" s="88" customFormat="1" ht="12" customHeight="1">
      <c r="A23" s="411" t="s">
        <v>86</v>
      </c>
      <c r="B23" s="392" t="s">
        <v>258</v>
      </c>
      <c r="C23" s="277">
        <v>2607000</v>
      </c>
    </row>
    <row r="24" spans="1:3" s="87" customFormat="1" ht="12" customHeight="1">
      <c r="A24" s="412" t="s">
        <v>87</v>
      </c>
      <c r="B24" s="393" t="s">
        <v>259</v>
      </c>
      <c r="C24" s="276"/>
    </row>
    <row r="25" spans="1:3" s="88" customFormat="1" ht="12" customHeight="1">
      <c r="A25" s="412" t="s">
        <v>88</v>
      </c>
      <c r="B25" s="393" t="s">
        <v>416</v>
      </c>
      <c r="C25" s="276"/>
    </row>
    <row r="26" spans="1:3" s="88" customFormat="1" ht="12" customHeight="1">
      <c r="A26" s="412" t="s">
        <v>89</v>
      </c>
      <c r="B26" s="393" t="s">
        <v>417</v>
      </c>
      <c r="C26" s="276"/>
    </row>
    <row r="27" spans="1:3" s="88" customFormat="1" ht="12" customHeight="1">
      <c r="A27" s="412" t="s">
        <v>167</v>
      </c>
      <c r="B27" s="393" t="s">
        <v>260</v>
      </c>
      <c r="C27" s="276">
        <v>72830138</v>
      </c>
    </row>
    <row r="28" spans="1:3" s="88" customFormat="1" ht="12" customHeight="1" thickBot="1">
      <c r="A28" s="413" t="s">
        <v>168</v>
      </c>
      <c r="B28" s="394" t="s">
        <v>261</v>
      </c>
      <c r="C28" s="278">
        <v>64830138</v>
      </c>
    </row>
    <row r="29" spans="1:3" s="88" customFormat="1" ht="12" customHeight="1" thickBot="1">
      <c r="A29" s="32" t="s">
        <v>169</v>
      </c>
      <c r="B29" s="21" t="s">
        <v>548</v>
      </c>
      <c r="C29" s="280">
        <f>SUM(C30:C36)</f>
        <v>160000000</v>
      </c>
    </row>
    <row r="30" spans="1:3" s="88" customFormat="1" ht="12" customHeight="1">
      <c r="A30" s="411" t="s">
        <v>263</v>
      </c>
      <c r="B30" s="392" t="str">
        <f>'KV_1.1.sz.mell.'!B32</f>
        <v>Építményadó</v>
      </c>
      <c r="C30" s="277">
        <v>80000000</v>
      </c>
    </row>
    <row r="31" spans="1:3" s="88" customFormat="1" ht="12" customHeight="1">
      <c r="A31" s="412" t="s">
        <v>264</v>
      </c>
      <c r="B31" s="392" t="str">
        <f>'KV_1.1.sz.mell.'!B33</f>
        <v>Telekadó</v>
      </c>
      <c r="C31" s="276">
        <v>12000000</v>
      </c>
    </row>
    <row r="32" spans="1:3" s="88" customFormat="1" ht="12" customHeight="1">
      <c r="A32" s="412" t="s">
        <v>265</v>
      </c>
      <c r="B32" s="392" t="str">
        <f>'KV_1.1.sz.mell.'!B34</f>
        <v>Iparűzési adó</v>
      </c>
      <c r="C32" s="276">
        <v>32000000</v>
      </c>
    </row>
    <row r="33" spans="1:3" s="88" customFormat="1" ht="12" customHeight="1">
      <c r="A33" s="412" t="s">
        <v>266</v>
      </c>
      <c r="B33" s="392" t="str">
        <f>'KV_1.1.sz.mell.'!B35</f>
        <v>Idegenforgalmi adó</v>
      </c>
      <c r="C33" s="276">
        <v>28000000</v>
      </c>
    </row>
    <row r="34" spans="1:3" s="88" customFormat="1" ht="12" customHeight="1">
      <c r="A34" s="412" t="s">
        <v>541</v>
      </c>
      <c r="B34" s="392" t="str">
        <f>'KV_1.1.sz.mell.'!B36</f>
        <v>Gépjárműadó</v>
      </c>
      <c r="C34" s="276">
        <v>4500000</v>
      </c>
    </row>
    <row r="35" spans="1:3" s="88" customFormat="1" ht="12" customHeight="1">
      <c r="A35" s="412" t="s">
        <v>542</v>
      </c>
      <c r="B35" s="392" t="str">
        <f>'KV_1.1.sz.mell.'!B37</f>
        <v>Települési adó</v>
      </c>
      <c r="C35" s="276">
        <v>2500000</v>
      </c>
    </row>
    <row r="36" spans="1:3" s="88" customFormat="1" ht="12" customHeight="1" thickBot="1">
      <c r="A36" s="413" t="s">
        <v>543</v>
      </c>
      <c r="B36" s="392" t="str">
        <f>'KV_1.1.sz.mell.'!B38</f>
        <v>Egyéb adó</v>
      </c>
      <c r="C36" s="278">
        <v>1000000</v>
      </c>
    </row>
    <row r="37" spans="1:3" s="88" customFormat="1" ht="12" customHeight="1" thickBot="1">
      <c r="A37" s="32" t="s">
        <v>22</v>
      </c>
      <c r="B37" s="21" t="s">
        <v>426</v>
      </c>
      <c r="C37" s="274">
        <f>SUM(C38:C48)</f>
        <v>21027828</v>
      </c>
    </row>
    <row r="38" spans="1:3" s="88" customFormat="1" ht="12" customHeight="1">
      <c r="A38" s="411" t="s">
        <v>90</v>
      </c>
      <c r="B38" s="392" t="s">
        <v>270</v>
      </c>
      <c r="C38" s="277"/>
    </row>
    <row r="39" spans="1:3" s="88" customFormat="1" ht="12" customHeight="1">
      <c r="A39" s="412" t="s">
        <v>91</v>
      </c>
      <c r="B39" s="393" t="s">
        <v>271</v>
      </c>
      <c r="C39" s="276">
        <v>12200000</v>
      </c>
    </row>
    <row r="40" spans="1:3" s="88" customFormat="1" ht="12" customHeight="1">
      <c r="A40" s="412" t="s">
        <v>92</v>
      </c>
      <c r="B40" s="393" t="s">
        <v>272</v>
      </c>
      <c r="C40" s="276">
        <v>2100000</v>
      </c>
    </row>
    <row r="41" spans="1:3" s="88" customFormat="1" ht="12" customHeight="1">
      <c r="A41" s="412" t="s">
        <v>171</v>
      </c>
      <c r="B41" s="393" t="s">
        <v>273</v>
      </c>
      <c r="C41" s="276"/>
    </row>
    <row r="42" spans="1:3" s="88" customFormat="1" ht="12" customHeight="1">
      <c r="A42" s="412" t="s">
        <v>172</v>
      </c>
      <c r="B42" s="393" t="s">
        <v>274</v>
      </c>
      <c r="C42" s="276">
        <v>3800000</v>
      </c>
    </row>
    <row r="43" spans="1:3" s="88" customFormat="1" ht="12" customHeight="1">
      <c r="A43" s="412" t="s">
        <v>173</v>
      </c>
      <c r="B43" s="393" t="s">
        <v>275</v>
      </c>
      <c r="C43" s="276">
        <v>2408400</v>
      </c>
    </row>
    <row r="44" spans="1:3" s="88" customFormat="1" ht="12" customHeight="1">
      <c r="A44" s="412" t="s">
        <v>174</v>
      </c>
      <c r="B44" s="393" t="s">
        <v>276</v>
      </c>
      <c r="C44" s="276"/>
    </row>
    <row r="45" spans="1:3" s="88" customFormat="1" ht="12" customHeight="1">
      <c r="A45" s="412" t="s">
        <v>175</v>
      </c>
      <c r="B45" s="393" t="s">
        <v>547</v>
      </c>
      <c r="C45" s="276"/>
    </row>
    <row r="46" spans="1:3" s="88" customFormat="1" ht="12" customHeight="1">
      <c r="A46" s="412" t="s">
        <v>268</v>
      </c>
      <c r="B46" s="393" t="s">
        <v>278</v>
      </c>
      <c r="C46" s="279">
        <v>19428</v>
      </c>
    </row>
    <row r="47" spans="1:3" s="88" customFormat="1" ht="12" customHeight="1">
      <c r="A47" s="413" t="s">
        <v>269</v>
      </c>
      <c r="B47" s="394" t="s">
        <v>428</v>
      </c>
      <c r="C47" s="380"/>
    </row>
    <row r="48" spans="1:3" s="88" customFormat="1" ht="12" customHeight="1" thickBot="1">
      <c r="A48" s="413" t="s">
        <v>427</v>
      </c>
      <c r="B48" s="394" t="s">
        <v>279</v>
      </c>
      <c r="C48" s="380">
        <v>500000</v>
      </c>
    </row>
    <row r="49" spans="1:3" s="88" customFormat="1" ht="12" customHeight="1" thickBot="1">
      <c r="A49" s="32" t="s">
        <v>23</v>
      </c>
      <c r="B49" s="21" t="s">
        <v>280</v>
      </c>
      <c r="C49" s="274">
        <f>SUM(C50:C54)</f>
        <v>5580000</v>
      </c>
    </row>
    <row r="50" spans="1:3" s="88" customFormat="1" ht="12" customHeight="1">
      <c r="A50" s="411" t="s">
        <v>93</v>
      </c>
      <c r="B50" s="392" t="s">
        <v>284</v>
      </c>
      <c r="C50" s="436"/>
    </row>
    <row r="51" spans="1:3" s="88" customFormat="1" ht="12" customHeight="1">
      <c r="A51" s="412" t="s">
        <v>94</v>
      </c>
      <c r="B51" s="393" t="s">
        <v>285</v>
      </c>
      <c r="C51" s="279">
        <v>5580000</v>
      </c>
    </row>
    <row r="52" spans="1:3" s="88" customFormat="1" ht="12" customHeight="1">
      <c r="A52" s="412" t="s">
        <v>281</v>
      </c>
      <c r="B52" s="393" t="s">
        <v>286</v>
      </c>
      <c r="C52" s="279"/>
    </row>
    <row r="53" spans="1:3" s="88" customFormat="1" ht="12" customHeight="1">
      <c r="A53" s="412" t="s">
        <v>282</v>
      </c>
      <c r="B53" s="393" t="s">
        <v>287</v>
      </c>
      <c r="C53" s="279"/>
    </row>
    <row r="54" spans="1:3" s="88" customFormat="1" ht="12" customHeight="1" thickBot="1">
      <c r="A54" s="413" t="s">
        <v>283</v>
      </c>
      <c r="B54" s="394" t="s">
        <v>288</v>
      </c>
      <c r="C54" s="380"/>
    </row>
    <row r="55" spans="1:3" s="88" customFormat="1" ht="12" customHeight="1" thickBot="1">
      <c r="A55" s="32" t="s">
        <v>176</v>
      </c>
      <c r="B55" s="21" t="s">
        <v>289</v>
      </c>
      <c r="C55" s="274">
        <f>SUM(C56:C58)</f>
        <v>0</v>
      </c>
    </row>
    <row r="56" spans="1:3" s="88" customFormat="1" ht="12" customHeight="1">
      <c r="A56" s="411" t="s">
        <v>95</v>
      </c>
      <c r="B56" s="392" t="s">
        <v>290</v>
      </c>
      <c r="C56" s="277"/>
    </row>
    <row r="57" spans="1:3" s="88" customFormat="1" ht="12" customHeight="1">
      <c r="A57" s="412" t="s">
        <v>96</v>
      </c>
      <c r="B57" s="393" t="s">
        <v>418</v>
      </c>
      <c r="C57" s="276"/>
    </row>
    <row r="58" spans="1:3" s="88" customFormat="1" ht="12" customHeight="1">
      <c r="A58" s="412" t="s">
        <v>293</v>
      </c>
      <c r="B58" s="393" t="s">
        <v>291</v>
      </c>
      <c r="C58" s="276"/>
    </row>
    <row r="59" spans="1:3" s="88" customFormat="1" ht="12" customHeight="1" thickBot="1">
      <c r="A59" s="413" t="s">
        <v>294</v>
      </c>
      <c r="B59" s="394" t="s">
        <v>292</v>
      </c>
      <c r="C59" s="278"/>
    </row>
    <row r="60" spans="1:3" s="88" customFormat="1" ht="12" customHeight="1" thickBot="1">
      <c r="A60" s="32" t="s">
        <v>25</v>
      </c>
      <c r="B60" s="269" t="s">
        <v>295</v>
      </c>
      <c r="C60" s="274">
        <f>SUM(C61:C63)</f>
        <v>0</v>
      </c>
    </row>
    <row r="61" spans="1:3" s="88" customFormat="1" ht="12" customHeight="1">
      <c r="A61" s="411" t="s">
        <v>177</v>
      </c>
      <c r="B61" s="392" t="s">
        <v>297</v>
      </c>
      <c r="C61" s="279"/>
    </row>
    <row r="62" spans="1:3" s="88" customFormat="1" ht="12" customHeight="1">
      <c r="A62" s="412" t="s">
        <v>178</v>
      </c>
      <c r="B62" s="393" t="s">
        <v>419</v>
      </c>
      <c r="C62" s="279"/>
    </row>
    <row r="63" spans="1:3" s="88" customFormat="1" ht="12" customHeight="1">
      <c r="A63" s="412" t="s">
        <v>226</v>
      </c>
      <c r="B63" s="393" t="s">
        <v>298</v>
      </c>
      <c r="C63" s="279"/>
    </row>
    <row r="64" spans="1:3" s="88" customFormat="1" ht="12" customHeight="1" thickBot="1">
      <c r="A64" s="413" t="s">
        <v>296</v>
      </c>
      <c r="B64" s="394" t="s">
        <v>299</v>
      </c>
      <c r="C64" s="279"/>
    </row>
    <row r="65" spans="1:3" s="88" customFormat="1" ht="12" customHeight="1" thickBot="1">
      <c r="A65" s="32" t="s">
        <v>26</v>
      </c>
      <c r="B65" s="21" t="s">
        <v>300</v>
      </c>
      <c r="C65" s="280">
        <f>+C8+C15+C22+C29+C37+C49+C55+C60</f>
        <v>337670635</v>
      </c>
    </row>
    <row r="66" spans="1:3" s="88" customFormat="1" ht="12" customHeight="1" thickBot="1">
      <c r="A66" s="414" t="s">
        <v>387</v>
      </c>
      <c r="B66" s="269" t="s">
        <v>302</v>
      </c>
      <c r="C66" s="274">
        <f>SUM(C67:C69)</f>
        <v>0</v>
      </c>
    </row>
    <row r="67" spans="1:3" s="88" customFormat="1" ht="12" customHeight="1">
      <c r="A67" s="411" t="s">
        <v>330</v>
      </c>
      <c r="B67" s="392" t="s">
        <v>303</v>
      </c>
      <c r="C67" s="279"/>
    </row>
    <row r="68" spans="1:3" s="88" customFormat="1" ht="12" customHeight="1">
      <c r="A68" s="412" t="s">
        <v>339</v>
      </c>
      <c r="B68" s="393" t="s">
        <v>304</v>
      </c>
      <c r="C68" s="279"/>
    </row>
    <row r="69" spans="1:3" s="88" customFormat="1" ht="12" customHeight="1" thickBot="1">
      <c r="A69" s="413" t="s">
        <v>340</v>
      </c>
      <c r="B69" s="395" t="s">
        <v>305</v>
      </c>
      <c r="C69" s="279"/>
    </row>
    <row r="70" spans="1:3" s="88" customFormat="1" ht="12" customHeight="1" thickBot="1">
      <c r="A70" s="414" t="s">
        <v>306</v>
      </c>
      <c r="B70" s="269" t="s">
        <v>307</v>
      </c>
      <c r="C70" s="274">
        <f>SUM(C71:C74)</f>
        <v>0</v>
      </c>
    </row>
    <row r="71" spans="1:3" s="88" customFormat="1" ht="12" customHeight="1">
      <c r="A71" s="411" t="s">
        <v>146</v>
      </c>
      <c r="B71" s="392" t="s">
        <v>308</v>
      </c>
      <c r="C71" s="279"/>
    </row>
    <row r="72" spans="1:3" s="88" customFormat="1" ht="12" customHeight="1">
      <c r="A72" s="412" t="s">
        <v>147</v>
      </c>
      <c r="B72" s="393" t="s">
        <v>558</v>
      </c>
      <c r="C72" s="279"/>
    </row>
    <row r="73" spans="1:3" s="88" customFormat="1" ht="12" customHeight="1">
      <c r="A73" s="412" t="s">
        <v>331</v>
      </c>
      <c r="B73" s="393" t="s">
        <v>309</v>
      </c>
      <c r="C73" s="279"/>
    </row>
    <row r="74" spans="1:3" s="88" customFormat="1" ht="12" customHeight="1">
      <c r="A74" s="412" t="s">
        <v>332</v>
      </c>
      <c r="B74" s="270" t="s">
        <v>559</v>
      </c>
      <c r="C74" s="279"/>
    </row>
    <row r="75" spans="1:3" s="88" customFormat="1" ht="12" customHeight="1" thickBot="1">
      <c r="A75" s="418" t="s">
        <v>310</v>
      </c>
      <c r="B75" s="548" t="s">
        <v>311</v>
      </c>
      <c r="C75" s="460">
        <f>SUM(C76:C77)</f>
        <v>272228963</v>
      </c>
    </row>
    <row r="76" spans="1:3" s="88" customFormat="1" ht="12" customHeight="1">
      <c r="A76" s="411" t="s">
        <v>333</v>
      </c>
      <c r="B76" s="392" t="s">
        <v>312</v>
      </c>
      <c r="C76" s="279">
        <v>272228963</v>
      </c>
    </row>
    <row r="77" spans="1:3" s="88" customFormat="1" ht="12" customHeight="1" thickBot="1">
      <c r="A77" s="413" t="s">
        <v>334</v>
      </c>
      <c r="B77" s="394" t="s">
        <v>313</v>
      </c>
      <c r="C77" s="279"/>
    </row>
    <row r="78" spans="1:3" s="87" customFormat="1" ht="12" customHeight="1" thickBot="1">
      <c r="A78" s="414" t="s">
        <v>314</v>
      </c>
      <c r="B78" s="269" t="s">
        <v>315</v>
      </c>
      <c r="C78" s="274">
        <f>SUM(C79:C81)</f>
        <v>0</v>
      </c>
    </row>
    <row r="79" spans="1:3" s="88" customFormat="1" ht="12" customHeight="1">
      <c r="A79" s="411" t="s">
        <v>335</v>
      </c>
      <c r="B79" s="392" t="s">
        <v>316</v>
      </c>
      <c r="C79" s="279"/>
    </row>
    <row r="80" spans="1:3" s="88" customFormat="1" ht="12" customHeight="1">
      <c r="A80" s="412" t="s">
        <v>336</v>
      </c>
      <c r="B80" s="393" t="s">
        <v>317</v>
      </c>
      <c r="C80" s="279"/>
    </row>
    <row r="81" spans="1:3" s="88" customFormat="1" ht="12" customHeight="1" thickBot="1">
      <c r="A81" s="413" t="s">
        <v>337</v>
      </c>
      <c r="B81" s="394" t="s">
        <v>560</v>
      </c>
      <c r="C81" s="279"/>
    </row>
    <row r="82" spans="1:3" s="88" customFormat="1" ht="12" customHeight="1" thickBot="1">
      <c r="A82" s="414" t="s">
        <v>318</v>
      </c>
      <c r="B82" s="269" t="s">
        <v>338</v>
      </c>
      <c r="C82" s="274">
        <f>SUM(C83:C86)</f>
        <v>0</v>
      </c>
    </row>
    <row r="83" spans="1:3" s="88" customFormat="1" ht="12" customHeight="1">
      <c r="A83" s="415" t="s">
        <v>319</v>
      </c>
      <c r="B83" s="392" t="s">
        <v>320</v>
      </c>
      <c r="C83" s="279"/>
    </row>
    <row r="84" spans="1:3" s="88" customFormat="1" ht="12" customHeight="1">
      <c r="A84" s="416" t="s">
        <v>321</v>
      </c>
      <c r="B84" s="393" t="s">
        <v>322</v>
      </c>
      <c r="C84" s="279"/>
    </row>
    <row r="85" spans="1:3" s="88" customFormat="1" ht="12" customHeight="1">
      <c r="A85" s="416" t="s">
        <v>323</v>
      </c>
      <c r="B85" s="393" t="s">
        <v>324</v>
      </c>
      <c r="C85" s="279"/>
    </row>
    <row r="86" spans="1:3" s="87" customFormat="1" ht="12" customHeight="1" thickBot="1">
      <c r="A86" s="417" t="s">
        <v>325</v>
      </c>
      <c r="B86" s="394" t="s">
        <v>326</v>
      </c>
      <c r="C86" s="279"/>
    </row>
    <row r="87" spans="1:3" s="87" customFormat="1" ht="12" customHeight="1" thickBot="1">
      <c r="A87" s="414" t="s">
        <v>327</v>
      </c>
      <c r="B87" s="269" t="s">
        <v>467</v>
      </c>
      <c r="C87" s="437"/>
    </row>
    <row r="88" spans="1:3" s="87" customFormat="1" ht="12" customHeight="1" thickBot="1">
      <c r="A88" s="414" t="s">
        <v>499</v>
      </c>
      <c r="B88" s="269" t="s">
        <v>328</v>
      </c>
      <c r="C88" s="437"/>
    </row>
    <row r="89" spans="1:3" s="87" customFormat="1" ht="12" customHeight="1" thickBot="1">
      <c r="A89" s="414" t="s">
        <v>500</v>
      </c>
      <c r="B89" s="399" t="s">
        <v>470</v>
      </c>
      <c r="C89" s="280">
        <f>+C66+C70+C75+C78+C82+C88+C87</f>
        <v>272228963</v>
      </c>
    </row>
    <row r="90" spans="1:3" s="87" customFormat="1" ht="12" customHeight="1" thickBot="1">
      <c r="A90" s="418" t="s">
        <v>501</v>
      </c>
      <c r="B90" s="400" t="s">
        <v>502</v>
      </c>
      <c r="C90" s="280">
        <f>+C65+C89</f>
        <v>609899598</v>
      </c>
    </row>
    <row r="91" spans="1:3" s="88" customFormat="1" ht="6.75" customHeight="1" thickBot="1">
      <c r="A91" s="217"/>
      <c r="B91" s="218"/>
      <c r="C91" s="339"/>
    </row>
    <row r="92" spans="1:3" s="68" customFormat="1" ht="16.5" customHeight="1" thickBot="1">
      <c r="A92" s="221"/>
      <c r="B92" s="222" t="s">
        <v>57</v>
      </c>
      <c r="C92" s="341"/>
    </row>
    <row r="93" spans="1:3" s="89" customFormat="1" ht="12" customHeight="1" thickBot="1">
      <c r="A93" s="386" t="s">
        <v>18</v>
      </c>
      <c r="B93" s="28" t="s">
        <v>506</v>
      </c>
      <c r="C93" s="273">
        <f>+C94+C95+C96+C97+C98+C111</f>
        <v>248924826</v>
      </c>
    </row>
    <row r="94" spans="1:3" ht="12" customHeight="1">
      <c r="A94" s="419" t="s">
        <v>97</v>
      </c>
      <c r="B94" s="10" t="s">
        <v>49</v>
      </c>
      <c r="C94" s="275">
        <v>50801505</v>
      </c>
    </row>
    <row r="95" spans="1:3" ht="12" customHeight="1">
      <c r="A95" s="412" t="s">
        <v>98</v>
      </c>
      <c r="B95" s="8" t="s">
        <v>179</v>
      </c>
      <c r="C95" s="276">
        <v>9883475</v>
      </c>
    </row>
    <row r="96" spans="1:3" ht="12" customHeight="1">
      <c r="A96" s="412" t="s">
        <v>99</v>
      </c>
      <c r="B96" s="8" t="s">
        <v>137</v>
      </c>
      <c r="C96" s="278">
        <v>98836770</v>
      </c>
    </row>
    <row r="97" spans="1:3" ht="12" customHeight="1">
      <c r="A97" s="412" t="s">
        <v>100</v>
      </c>
      <c r="B97" s="11" t="s">
        <v>180</v>
      </c>
      <c r="C97" s="278">
        <v>300000</v>
      </c>
    </row>
    <row r="98" spans="1:3" ht="12" customHeight="1">
      <c r="A98" s="412" t="s">
        <v>111</v>
      </c>
      <c r="B98" s="19" t="s">
        <v>181</v>
      </c>
      <c r="C98" s="278">
        <v>78882842</v>
      </c>
    </row>
    <row r="99" spans="1:3" ht="12" customHeight="1">
      <c r="A99" s="412" t="s">
        <v>101</v>
      </c>
      <c r="B99" s="8" t="s">
        <v>503</v>
      </c>
      <c r="C99" s="278"/>
    </row>
    <row r="100" spans="1:3" ht="12" customHeight="1">
      <c r="A100" s="412" t="s">
        <v>102</v>
      </c>
      <c r="B100" s="136" t="s">
        <v>433</v>
      </c>
      <c r="C100" s="278"/>
    </row>
    <row r="101" spans="1:3" ht="12" customHeight="1">
      <c r="A101" s="412" t="s">
        <v>112</v>
      </c>
      <c r="B101" s="136" t="s">
        <v>432</v>
      </c>
      <c r="C101" s="278"/>
    </row>
    <row r="102" spans="1:3" ht="12" customHeight="1">
      <c r="A102" s="412" t="s">
        <v>113</v>
      </c>
      <c r="B102" s="136" t="s">
        <v>344</v>
      </c>
      <c r="C102" s="278"/>
    </row>
    <row r="103" spans="1:3" ht="12" customHeight="1">
      <c r="A103" s="412" t="s">
        <v>114</v>
      </c>
      <c r="B103" s="137" t="s">
        <v>345</v>
      </c>
      <c r="C103" s="278"/>
    </row>
    <row r="104" spans="1:3" ht="12" customHeight="1">
      <c r="A104" s="412" t="s">
        <v>115</v>
      </c>
      <c r="B104" s="137" t="s">
        <v>346</v>
      </c>
      <c r="C104" s="278"/>
    </row>
    <row r="105" spans="1:3" ht="12" customHeight="1">
      <c r="A105" s="412" t="s">
        <v>117</v>
      </c>
      <c r="B105" s="136" t="s">
        <v>347</v>
      </c>
      <c r="C105" s="278">
        <v>58572842</v>
      </c>
    </row>
    <row r="106" spans="1:3" ht="12" customHeight="1">
      <c r="A106" s="412" t="s">
        <v>182</v>
      </c>
      <c r="B106" s="136" t="s">
        <v>348</v>
      </c>
      <c r="C106" s="278"/>
    </row>
    <row r="107" spans="1:3" ht="12" customHeight="1">
      <c r="A107" s="412" t="s">
        <v>342</v>
      </c>
      <c r="B107" s="137" t="s">
        <v>349</v>
      </c>
      <c r="C107" s="278"/>
    </row>
    <row r="108" spans="1:3" ht="12" customHeight="1">
      <c r="A108" s="420" t="s">
        <v>343</v>
      </c>
      <c r="B108" s="138" t="s">
        <v>350</v>
      </c>
      <c r="C108" s="278"/>
    </row>
    <row r="109" spans="1:3" ht="12" customHeight="1">
      <c r="A109" s="412" t="s">
        <v>430</v>
      </c>
      <c r="B109" s="138" t="s">
        <v>351</v>
      </c>
      <c r="C109" s="278"/>
    </row>
    <row r="110" spans="1:3" ht="12" customHeight="1">
      <c r="A110" s="412" t="s">
        <v>431</v>
      </c>
      <c r="B110" s="137" t="s">
        <v>352</v>
      </c>
      <c r="C110" s="276">
        <v>20310000</v>
      </c>
    </row>
    <row r="111" spans="1:3" ht="12" customHeight="1">
      <c r="A111" s="412" t="s">
        <v>435</v>
      </c>
      <c r="B111" s="11" t="s">
        <v>50</v>
      </c>
      <c r="C111" s="276">
        <v>10220234</v>
      </c>
    </row>
    <row r="112" spans="1:3" ht="12" customHeight="1">
      <c r="A112" s="413" t="s">
        <v>436</v>
      </c>
      <c r="B112" s="8" t="s">
        <v>504</v>
      </c>
      <c r="C112" s="278">
        <v>10220234</v>
      </c>
    </row>
    <row r="113" spans="1:3" ht="12" customHeight="1" thickBot="1">
      <c r="A113" s="421" t="s">
        <v>437</v>
      </c>
      <c r="B113" s="139" t="s">
        <v>505</v>
      </c>
      <c r="C113" s="282"/>
    </row>
    <row r="114" spans="1:3" ht="12" customHeight="1" thickBot="1">
      <c r="A114" s="32" t="s">
        <v>19</v>
      </c>
      <c r="B114" s="27" t="s">
        <v>353</v>
      </c>
      <c r="C114" s="274">
        <f>+C115+C117+C119</f>
        <v>338828667</v>
      </c>
    </row>
    <row r="115" spans="1:3" ht="12" customHeight="1">
      <c r="A115" s="411" t="s">
        <v>103</v>
      </c>
      <c r="B115" s="8" t="s">
        <v>225</v>
      </c>
      <c r="C115" s="277">
        <v>39306500</v>
      </c>
    </row>
    <row r="116" spans="1:3" ht="12" customHeight="1">
      <c r="A116" s="411" t="s">
        <v>104</v>
      </c>
      <c r="B116" s="12" t="s">
        <v>357</v>
      </c>
      <c r="C116" s="277"/>
    </row>
    <row r="117" spans="1:3" ht="12" customHeight="1">
      <c r="A117" s="411" t="s">
        <v>105</v>
      </c>
      <c r="B117" s="12" t="s">
        <v>183</v>
      </c>
      <c r="C117" s="276">
        <v>299522167</v>
      </c>
    </row>
    <row r="118" spans="1:3" ht="12" customHeight="1">
      <c r="A118" s="411" t="s">
        <v>106</v>
      </c>
      <c r="B118" s="12" t="s">
        <v>358</v>
      </c>
      <c r="C118" s="245">
        <v>93405128</v>
      </c>
    </row>
    <row r="119" spans="1:3" ht="12" customHeight="1">
      <c r="A119" s="411" t="s">
        <v>107</v>
      </c>
      <c r="B119" s="271" t="s">
        <v>227</v>
      </c>
      <c r="C119" s="245"/>
    </row>
    <row r="120" spans="1:3" ht="12" customHeight="1">
      <c r="A120" s="411" t="s">
        <v>116</v>
      </c>
      <c r="B120" s="270" t="s">
        <v>420</v>
      </c>
      <c r="C120" s="245"/>
    </row>
    <row r="121" spans="1:3" ht="12" customHeight="1">
      <c r="A121" s="411" t="s">
        <v>118</v>
      </c>
      <c r="B121" s="388" t="s">
        <v>363</v>
      </c>
      <c r="C121" s="245"/>
    </row>
    <row r="122" spans="1:3" ht="12" customHeight="1">
      <c r="A122" s="411" t="s">
        <v>184</v>
      </c>
      <c r="B122" s="137" t="s">
        <v>346</v>
      </c>
      <c r="C122" s="245"/>
    </row>
    <row r="123" spans="1:3" ht="12" customHeight="1">
      <c r="A123" s="411" t="s">
        <v>185</v>
      </c>
      <c r="B123" s="137" t="s">
        <v>362</v>
      </c>
      <c r="C123" s="245"/>
    </row>
    <row r="124" spans="1:3" ht="12" customHeight="1">
      <c r="A124" s="411" t="s">
        <v>186</v>
      </c>
      <c r="B124" s="137" t="s">
        <v>361</v>
      </c>
      <c r="C124" s="245"/>
    </row>
    <row r="125" spans="1:3" ht="12" customHeight="1">
      <c r="A125" s="411" t="s">
        <v>354</v>
      </c>
      <c r="B125" s="137" t="s">
        <v>349</v>
      </c>
      <c r="C125" s="245"/>
    </row>
    <row r="126" spans="1:3" ht="12" customHeight="1">
      <c r="A126" s="411" t="s">
        <v>355</v>
      </c>
      <c r="B126" s="137" t="s">
        <v>360</v>
      </c>
      <c r="C126" s="245"/>
    </row>
    <row r="127" spans="1:3" ht="12" customHeight="1" thickBot="1">
      <c r="A127" s="420" t="s">
        <v>356</v>
      </c>
      <c r="B127" s="137" t="s">
        <v>359</v>
      </c>
      <c r="C127" s="247"/>
    </row>
    <row r="128" spans="1:3" ht="12" customHeight="1" thickBot="1">
      <c r="A128" s="32" t="s">
        <v>20</v>
      </c>
      <c r="B128" s="118" t="s">
        <v>440</v>
      </c>
      <c r="C128" s="274">
        <f>+C93+C114</f>
        <v>587753493</v>
      </c>
    </row>
    <row r="129" spans="1:3" ht="12" customHeight="1" thickBot="1">
      <c r="A129" s="32" t="s">
        <v>21</v>
      </c>
      <c r="B129" s="118" t="s">
        <v>441</v>
      </c>
      <c r="C129" s="274">
        <f>+C130+C131+C132</f>
        <v>0</v>
      </c>
    </row>
    <row r="130" spans="1:3" s="89" customFormat="1" ht="12" customHeight="1">
      <c r="A130" s="411" t="s">
        <v>263</v>
      </c>
      <c r="B130" s="9" t="s">
        <v>509</v>
      </c>
      <c r="C130" s="245"/>
    </row>
    <row r="131" spans="1:3" ht="12" customHeight="1">
      <c r="A131" s="411" t="s">
        <v>264</v>
      </c>
      <c r="B131" s="9" t="s">
        <v>449</v>
      </c>
      <c r="C131" s="245"/>
    </row>
    <row r="132" spans="1:3" ht="12" customHeight="1" thickBot="1">
      <c r="A132" s="420" t="s">
        <v>265</v>
      </c>
      <c r="B132" s="7" t="s">
        <v>508</v>
      </c>
      <c r="C132" s="245"/>
    </row>
    <row r="133" spans="1:3" ht="12" customHeight="1" thickBot="1">
      <c r="A133" s="32" t="s">
        <v>22</v>
      </c>
      <c r="B133" s="118" t="s">
        <v>442</v>
      </c>
      <c r="C133" s="274">
        <f>+C134+C135+C136+C137+C138+C139</f>
        <v>0</v>
      </c>
    </row>
    <row r="134" spans="1:3" ht="12" customHeight="1">
      <c r="A134" s="411" t="s">
        <v>90</v>
      </c>
      <c r="B134" s="9" t="s">
        <v>451</v>
      </c>
      <c r="C134" s="245"/>
    </row>
    <row r="135" spans="1:3" ht="12" customHeight="1">
      <c r="A135" s="411" t="s">
        <v>91</v>
      </c>
      <c r="B135" s="9" t="s">
        <v>443</v>
      </c>
      <c r="C135" s="245"/>
    </row>
    <row r="136" spans="1:3" ht="12" customHeight="1">
      <c r="A136" s="411" t="s">
        <v>92</v>
      </c>
      <c r="B136" s="9" t="s">
        <v>444</v>
      </c>
      <c r="C136" s="245"/>
    </row>
    <row r="137" spans="1:3" ht="12" customHeight="1">
      <c r="A137" s="411" t="s">
        <v>171</v>
      </c>
      <c r="B137" s="9" t="s">
        <v>507</v>
      </c>
      <c r="C137" s="245"/>
    </row>
    <row r="138" spans="1:3" ht="12" customHeight="1">
      <c r="A138" s="411" t="s">
        <v>172</v>
      </c>
      <c r="B138" s="9" t="s">
        <v>446</v>
      </c>
      <c r="C138" s="245"/>
    </row>
    <row r="139" spans="1:3" s="89" customFormat="1" ht="12" customHeight="1" thickBot="1">
      <c r="A139" s="420" t="s">
        <v>173</v>
      </c>
      <c r="B139" s="7" t="s">
        <v>447</v>
      </c>
      <c r="C139" s="245"/>
    </row>
    <row r="140" spans="1:11" ht="12" customHeight="1" thickBot="1">
      <c r="A140" s="32" t="s">
        <v>23</v>
      </c>
      <c r="B140" s="118" t="s">
        <v>530</v>
      </c>
      <c r="C140" s="280">
        <f>+C141+C142+C144+C145+C143</f>
        <v>34018625</v>
      </c>
      <c r="K140" s="228"/>
    </row>
    <row r="141" spans="1:3" ht="12.75">
      <c r="A141" s="411" t="s">
        <v>93</v>
      </c>
      <c r="B141" s="9" t="s">
        <v>364</v>
      </c>
      <c r="C141" s="245"/>
    </row>
    <row r="142" spans="1:3" ht="12" customHeight="1">
      <c r="A142" s="411" t="s">
        <v>94</v>
      </c>
      <c r="B142" s="9" t="s">
        <v>365</v>
      </c>
      <c r="C142" s="245">
        <v>3025027</v>
      </c>
    </row>
    <row r="143" spans="1:3" s="89" customFormat="1" ht="12" customHeight="1">
      <c r="A143" s="411" t="s">
        <v>281</v>
      </c>
      <c r="B143" s="9" t="s">
        <v>529</v>
      </c>
      <c r="C143" s="245">
        <v>30993598</v>
      </c>
    </row>
    <row r="144" spans="1:3" s="89" customFormat="1" ht="12" customHeight="1">
      <c r="A144" s="411" t="s">
        <v>282</v>
      </c>
      <c r="B144" s="9" t="s">
        <v>456</v>
      </c>
      <c r="C144" s="245"/>
    </row>
    <row r="145" spans="1:3" s="89" customFormat="1" ht="12" customHeight="1" thickBot="1">
      <c r="A145" s="420" t="s">
        <v>283</v>
      </c>
      <c r="B145" s="7" t="s">
        <v>383</v>
      </c>
      <c r="C145" s="245"/>
    </row>
    <row r="146" spans="1:3" s="89" customFormat="1" ht="12" customHeight="1" thickBot="1">
      <c r="A146" s="32" t="s">
        <v>24</v>
      </c>
      <c r="B146" s="118" t="s">
        <v>457</v>
      </c>
      <c r="C146" s="283">
        <f>+C147+C148+C149+C150+C151</f>
        <v>0</v>
      </c>
    </row>
    <row r="147" spans="1:3" s="89" customFormat="1" ht="12" customHeight="1">
      <c r="A147" s="411" t="s">
        <v>95</v>
      </c>
      <c r="B147" s="9" t="s">
        <v>452</v>
      </c>
      <c r="C147" s="245"/>
    </row>
    <row r="148" spans="1:3" s="89" customFormat="1" ht="12" customHeight="1">
      <c r="A148" s="411" t="s">
        <v>96</v>
      </c>
      <c r="B148" s="9" t="s">
        <v>459</v>
      </c>
      <c r="C148" s="245"/>
    </row>
    <row r="149" spans="1:3" s="89" customFormat="1" ht="12" customHeight="1">
      <c r="A149" s="411" t="s">
        <v>293</v>
      </c>
      <c r="B149" s="9" t="s">
        <v>454</v>
      </c>
      <c r="C149" s="245"/>
    </row>
    <row r="150" spans="1:3" ht="12.75" customHeight="1">
      <c r="A150" s="411" t="s">
        <v>294</v>
      </c>
      <c r="B150" s="9" t="s">
        <v>510</v>
      </c>
      <c r="C150" s="245"/>
    </row>
    <row r="151" spans="1:3" ht="12.75" customHeight="1" thickBot="1">
      <c r="A151" s="420" t="s">
        <v>458</v>
      </c>
      <c r="B151" s="7" t="s">
        <v>461</v>
      </c>
      <c r="C151" s="247"/>
    </row>
    <row r="152" spans="1:3" ht="12.75" customHeight="1" thickBot="1">
      <c r="A152" s="465" t="s">
        <v>25</v>
      </c>
      <c r="B152" s="118" t="s">
        <v>462</v>
      </c>
      <c r="C152" s="283"/>
    </row>
    <row r="153" spans="1:3" ht="12" customHeight="1" thickBot="1">
      <c r="A153" s="465" t="s">
        <v>26</v>
      </c>
      <c r="B153" s="118" t="s">
        <v>463</v>
      </c>
      <c r="C153" s="283"/>
    </row>
    <row r="154" spans="1:3" ht="15" customHeight="1" thickBot="1">
      <c r="A154" s="32" t="s">
        <v>27</v>
      </c>
      <c r="B154" s="118" t="s">
        <v>465</v>
      </c>
      <c r="C154" s="402">
        <f>+C129+C133+C140+C146+C152+C153</f>
        <v>34018625</v>
      </c>
    </row>
    <row r="155" spans="1:3" ht="13.5" thickBot="1">
      <c r="A155" s="422" t="s">
        <v>28</v>
      </c>
      <c r="B155" s="357" t="s">
        <v>464</v>
      </c>
      <c r="C155" s="402">
        <f>+C128+C154</f>
        <v>621772118</v>
      </c>
    </row>
    <row r="156" spans="1:3" ht="13.5" customHeight="1" thickBot="1">
      <c r="A156" s="365"/>
      <c r="B156" s="366"/>
      <c r="C156" s="588">
        <f>C90-C155</f>
        <v>-11872520</v>
      </c>
    </row>
    <row r="157" spans="1:3" ht="14.25" customHeight="1" thickBot="1">
      <c r="A157" s="226" t="s">
        <v>511</v>
      </c>
      <c r="B157" s="227"/>
      <c r="C157" s="115">
        <v>13</v>
      </c>
    </row>
    <row r="158" spans="1:3" ht="13.5" thickBot="1">
      <c r="A158" s="226" t="s">
        <v>201</v>
      </c>
      <c r="B158" s="227"/>
      <c r="C158" s="115"/>
    </row>
    <row r="159" spans="1:3" ht="12.75">
      <c r="A159" s="585"/>
      <c r="B159" s="586"/>
      <c r="C159" s="587"/>
    </row>
    <row r="160" spans="1:2" ht="12.75">
      <c r="A160" s="585"/>
      <c r="B160" s="586"/>
    </row>
    <row r="161" spans="1:3" ht="12.75">
      <c r="A161" s="585"/>
      <c r="B161" s="586"/>
      <c r="C161" s="587"/>
    </row>
    <row r="162" spans="1:3" ht="12.75">
      <c r="A162" s="585"/>
      <c r="B162" s="586"/>
      <c r="C162" s="587"/>
    </row>
    <row r="163" spans="1:3" ht="12.75">
      <c r="A163" s="585"/>
      <c r="B163" s="586"/>
      <c r="C163" s="587"/>
    </row>
    <row r="164" spans="1:3" ht="12.75">
      <c r="A164" s="585"/>
      <c r="B164" s="586"/>
      <c r="C164" s="587"/>
    </row>
    <row r="165" spans="1:3" ht="12.75">
      <c r="A165" s="585"/>
      <c r="B165" s="586"/>
      <c r="C165" s="587"/>
    </row>
    <row r="166" spans="1:3" ht="12.75">
      <c r="A166" s="585"/>
      <c r="B166" s="586"/>
      <c r="C166" s="587"/>
    </row>
    <row r="167" spans="1:3" ht="12.75">
      <c r="A167" s="585"/>
      <c r="B167" s="586"/>
      <c r="C167" s="587"/>
    </row>
    <row r="168" spans="1:3" ht="12.75">
      <c r="A168" s="585"/>
      <c r="B168" s="586"/>
      <c r="C168" s="587"/>
    </row>
    <row r="169" spans="1:3" ht="12.75">
      <c r="A169" s="585"/>
      <c r="B169" s="586"/>
      <c r="C169" s="587"/>
    </row>
    <row r="170" spans="1:3" ht="12.75">
      <c r="A170" s="585"/>
      <c r="B170" s="586"/>
      <c r="C170" s="587"/>
    </row>
    <row r="171" spans="1:3" ht="12.75">
      <c r="A171" s="585"/>
      <c r="B171" s="586"/>
      <c r="C171" s="587"/>
    </row>
    <row r="172" spans="1:3" ht="12.75">
      <c r="A172" s="585"/>
      <c r="B172" s="586"/>
      <c r="C172" s="587"/>
    </row>
    <row r="173" spans="1:3" ht="12.75">
      <c r="A173" s="585"/>
      <c r="B173" s="586"/>
      <c r="C173" s="587"/>
    </row>
    <row r="174" spans="1:3" ht="12.75">
      <c r="A174" s="585"/>
      <c r="B174" s="586"/>
      <c r="C174" s="587"/>
    </row>
    <row r="175" spans="1:3" ht="12.75">
      <c r="A175" s="585"/>
      <c r="B175" s="586"/>
      <c r="C175" s="587"/>
    </row>
    <row r="176" spans="1:3" ht="12.75">
      <c r="A176" s="585"/>
      <c r="B176" s="586"/>
      <c r="C176" s="587"/>
    </row>
    <row r="177" spans="1:3" ht="12.75">
      <c r="A177" s="585"/>
      <c r="B177" s="586"/>
      <c r="C177" s="587"/>
    </row>
    <row r="178" spans="1:3" ht="12.75">
      <c r="A178" s="585"/>
      <c r="B178" s="586"/>
      <c r="C178" s="58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8"/>
  <sheetViews>
    <sheetView zoomScale="120" zoomScaleNormal="120" zoomScaleSheetLayoutView="85" workbookViewId="0" topLeftCell="A1">
      <selection activeCell="A2" sqref="A2"/>
    </sheetView>
  </sheetViews>
  <sheetFormatPr defaultColWidth="9.00390625" defaultRowHeight="12.75"/>
  <cols>
    <col min="1" max="1" width="19.50390625" style="367" customWidth="1"/>
    <col min="2" max="2" width="72.00390625" style="368" customWidth="1"/>
    <col min="3" max="3" width="25.00390625" style="369" customWidth="1"/>
    <col min="4" max="16384" width="9.375" style="3" customWidth="1"/>
  </cols>
  <sheetData>
    <row r="1" spans="1:3" s="2" customFormat="1" ht="16.5" customHeight="1" thickBot="1">
      <c r="A1" s="566"/>
      <c r="B1" s="567"/>
      <c r="C1" s="563" t="str">
        <f>CONCATENATE("9.1.2. melléklet ",ALAPADATOK!A7," ",ALAPADATOK!B7," ",ALAPADATOK!C7," ",ALAPADATOK!D7," ",ALAPADATOK!E7," ",ALAPADATOK!F7," ",ALAPADATOK!G7," ",ALAPADATOK!H7)</f>
        <v>9.1.2. melléklet a 2 / 2020 ( II. 21. ) önkormányzati rendelethez</v>
      </c>
    </row>
    <row r="2" spans="1:3" s="85" customFormat="1" ht="21" customHeight="1">
      <c r="A2" s="568" t="s">
        <v>61</v>
      </c>
      <c r="B2" s="569" t="str">
        <f>CONCATENATE(ALAPADATOK!A3)</f>
        <v>BALATONGYÖRÖK KÖZSÉG ÖNKORMÁNYZATA</v>
      </c>
      <c r="C2" s="570" t="s">
        <v>54</v>
      </c>
    </row>
    <row r="3" spans="1:3" s="85" customFormat="1" ht="16.5" thickBot="1">
      <c r="A3" s="571" t="s">
        <v>198</v>
      </c>
      <c r="B3" s="572" t="s">
        <v>422</v>
      </c>
      <c r="C3" s="573" t="s">
        <v>60</v>
      </c>
    </row>
    <row r="4" spans="1:3" s="86" customFormat="1" ht="22.5" customHeight="1" thickBot="1">
      <c r="A4" s="574"/>
      <c r="B4" s="574"/>
      <c r="C4" s="575" t="str">
        <f>'KV_9.1.1.sz.mell'!C4</f>
        <v>Forintban!</v>
      </c>
    </row>
    <row r="5" spans="1:3" ht="13.5" thickBot="1">
      <c r="A5" s="576" t="s">
        <v>200</v>
      </c>
      <c r="B5" s="577" t="s">
        <v>551</v>
      </c>
      <c r="C5" s="578" t="s">
        <v>55</v>
      </c>
    </row>
    <row r="6" spans="1:3" s="68" customFormat="1" ht="12.75" customHeight="1" thickBot="1">
      <c r="A6" s="579"/>
      <c r="B6" s="580" t="s">
        <v>485</v>
      </c>
      <c r="C6" s="581" t="s">
        <v>486</v>
      </c>
    </row>
    <row r="7" spans="1:3" s="68" customFormat="1" ht="15.75" customHeight="1" thickBot="1">
      <c r="A7" s="211"/>
      <c r="B7" s="212" t="s">
        <v>56</v>
      </c>
      <c r="C7" s="334"/>
    </row>
    <row r="8" spans="1:3" s="68" customFormat="1" ht="12" customHeight="1" thickBot="1">
      <c r="A8" s="32" t="s">
        <v>18</v>
      </c>
      <c r="B8" s="21" t="s">
        <v>247</v>
      </c>
      <c r="C8" s="274">
        <f>+C9+C10+C11+C12+C13+C14</f>
        <v>0</v>
      </c>
    </row>
    <row r="9" spans="1:3" s="87" customFormat="1" ht="12" customHeight="1">
      <c r="A9" s="411" t="s">
        <v>97</v>
      </c>
      <c r="B9" s="392" t="s">
        <v>248</v>
      </c>
      <c r="C9" s="277"/>
    </row>
    <row r="10" spans="1:3" s="88" customFormat="1" ht="12" customHeight="1">
      <c r="A10" s="412" t="s">
        <v>98</v>
      </c>
      <c r="B10" s="393" t="s">
        <v>249</v>
      </c>
      <c r="C10" s="276"/>
    </row>
    <row r="11" spans="1:3" s="88" customFormat="1" ht="12" customHeight="1">
      <c r="A11" s="412" t="s">
        <v>99</v>
      </c>
      <c r="B11" s="393" t="s">
        <v>539</v>
      </c>
      <c r="C11" s="276"/>
    </row>
    <row r="12" spans="1:3" s="88" customFormat="1" ht="12" customHeight="1">
      <c r="A12" s="412" t="s">
        <v>100</v>
      </c>
      <c r="B12" s="393" t="s">
        <v>251</v>
      </c>
      <c r="C12" s="276"/>
    </row>
    <row r="13" spans="1:3" s="88" customFormat="1" ht="12" customHeight="1">
      <c r="A13" s="412" t="s">
        <v>145</v>
      </c>
      <c r="B13" s="393" t="s">
        <v>498</v>
      </c>
      <c r="C13" s="276"/>
    </row>
    <row r="14" spans="1:3" s="87" customFormat="1" ht="12" customHeight="1" thickBot="1">
      <c r="A14" s="413" t="s">
        <v>101</v>
      </c>
      <c r="B14" s="394" t="s">
        <v>425</v>
      </c>
      <c r="C14" s="276"/>
    </row>
    <row r="15" spans="1:3" s="87" customFormat="1" ht="12" customHeight="1" thickBot="1">
      <c r="A15" s="32" t="s">
        <v>19</v>
      </c>
      <c r="B15" s="269" t="s">
        <v>252</v>
      </c>
      <c r="C15" s="274">
        <f>+C16+C17+C18+C19+C20</f>
        <v>75000000</v>
      </c>
    </row>
    <row r="16" spans="1:3" s="87" customFormat="1" ht="12" customHeight="1">
      <c r="A16" s="411" t="s">
        <v>103</v>
      </c>
      <c r="B16" s="392" t="s">
        <v>253</v>
      </c>
      <c r="C16" s="277"/>
    </row>
    <row r="17" spans="1:3" s="87" customFormat="1" ht="12" customHeight="1">
      <c r="A17" s="412" t="s">
        <v>104</v>
      </c>
      <c r="B17" s="393" t="s">
        <v>254</v>
      </c>
      <c r="C17" s="276"/>
    </row>
    <row r="18" spans="1:3" s="87" customFormat="1" ht="12" customHeight="1">
      <c r="A18" s="412" t="s">
        <v>105</v>
      </c>
      <c r="B18" s="393" t="s">
        <v>414</v>
      </c>
      <c r="C18" s="276"/>
    </row>
    <row r="19" spans="1:3" s="87" customFormat="1" ht="12" customHeight="1">
      <c r="A19" s="412" t="s">
        <v>106</v>
      </c>
      <c r="B19" s="393" t="s">
        <v>415</v>
      </c>
      <c r="C19" s="276"/>
    </row>
    <row r="20" spans="1:3" s="87" customFormat="1" ht="12" customHeight="1">
      <c r="A20" s="412" t="s">
        <v>107</v>
      </c>
      <c r="B20" s="393" t="s">
        <v>255</v>
      </c>
      <c r="C20" s="276">
        <v>75000000</v>
      </c>
    </row>
    <row r="21" spans="1:3" s="88" customFormat="1" ht="12" customHeight="1" thickBot="1">
      <c r="A21" s="413" t="s">
        <v>116</v>
      </c>
      <c r="B21" s="394" t="s">
        <v>256</v>
      </c>
      <c r="C21" s="278"/>
    </row>
    <row r="22" spans="1:3" s="88" customFormat="1" ht="12" customHeight="1" thickBot="1">
      <c r="A22" s="32" t="s">
        <v>20</v>
      </c>
      <c r="B22" s="21" t="s">
        <v>257</v>
      </c>
      <c r="C22" s="274">
        <f>+C23+C24+C25+C26+C27</f>
        <v>0</v>
      </c>
    </row>
    <row r="23" spans="1:3" s="88" customFormat="1" ht="12" customHeight="1">
      <c r="A23" s="411" t="s">
        <v>86</v>
      </c>
      <c r="B23" s="392" t="s">
        <v>258</v>
      </c>
      <c r="C23" s="277"/>
    </row>
    <row r="24" spans="1:3" s="87" customFormat="1" ht="12" customHeight="1">
      <c r="A24" s="412" t="s">
        <v>87</v>
      </c>
      <c r="B24" s="393" t="s">
        <v>259</v>
      </c>
      <c r="C24" s="276"/>
    </row>
    <row r="25" spans="1:3" s="88" customFormat="1" ht="12" customHeight="1">
      <c r="A25" s="412" t="s">
        <v>88</v>
      </c>
      <c r="B25" s="393" t="s">
        <v>416</v>
      </c>
      <c r="C25" s="276"/>
    </row>
    <row r="26" spans="1:3" s="88" customFormat="1" ht="12" customHeight="1">
      <c r="A26" s="412" t="s">
        <v>89</v>
      </c>
      <c r="B26" s="393" t="s">
        <v>417</v>
      </c>
      <c r="C26" s="276"/>
    </row>
    <row r="27" spans="1:3" s="88" customFormat="1" ht="12" customHeight="1">
      <c r="A27" s="412" t="s">
        <v>167</v>
      </c>
      <c r="B27" s="393" t="s">
        <v>260</v>
      </c>
      <c r="C27" s="276"/>
    </row>
    <row r="28" spans="1:3" s="88" customFormat="1" ht="12" customHeight="1" thickBot="1">
      <c r="A28" s="413" t="s">
        <v>168</v>
      </c>
      <c r="B28" s="394" t="s">
        <v>261</v>
      </c>
      <c r="C28" s="278"/>
    </row>
    <row r="29" spans="1:3" s="88" customFormat="1" ht="12" customHeight="1" thickBot="1">
      <c r="A29" s="32" t="s">
        <v>169</v>
      </c>
      <c r="B29" s="21" t="s">
        <v>262</v>
      </c>
      <c r="C29" s="280">
        <f>SUM(C30:C36)</f>
        <v>0</v>
      </c>
    </row>
    <row r="30" spans="1:3" s="88" customFormat="1" ht="12" customHeight="1">
      <c r="A30" s="411" t="s">
        <v>263</v>
      </c>
      <c r="B30" s="392" t="str">
        <f>'KV_1.1.sz.mell.'!B32</f>
        <v>Építményadó</v>
      </c>
      <c r="C30" s="277"/>
    </row>
    <row r="31" spans="1:3" s="88" customFormat="1" ht="12" customHeight="1">
      <c r="A31" s="412" t="s">
        <v>264</v>
      </c>
      <c r="B31" s="392" t="str">
        <f>'KV_1.1.sz.mell.'!B33</f>
        <v>Telekadó</v>
      </c>
      <c r="C31" s="276"/>
    </row>
    <row r="32" spans="1:3" s="88" customFormat="1" ht="12" customHeight="1">
      <c r="A32" s="412" t="s">
        <v>265</v>
      </c>
      <c r="B32" s="392" t="str">
        <f>'KV_1.1.sz.mell.'!B34</f>
        <v>Iparűzési adó</v>
      </c>
      <c r="C32" s="276"/>
    </row>
    <row r="33" spans="1:3" s="88" customFormat="1" ht="12" customHeight="1">
      <c r="A33" s="412" t="s">
        <v>266</v>
      </c>
      <c r="B33" s="392" t="str">
        <f>'KV_1.1.sz.mell.'!B35</f>
        <v>Idegenforgalmi adó</v>
      </c>
      <c r="C33" s="276"/>
    </row>
    <row r="34" spans="1:3" s="88" customFormat="1" ht="12" customHeight="1">
      <c r="A34" s="412" t="s">
        <v>541</v>
      </c>
      <c r="B34" s="392" t="str">
        <f>'KV_1.1.sz.mell.'!B36</f>
        <v>Gépjárműadó</v>
      </c>
      <c r="C34" s="276"/>
    </row>
    <row r="35" spans="1:3" s="88" customFormat="1" ht="12" customHeight="1">
      <c r="A35" s="412" t="s">
        <v>542</v>
      </c>
      <c r="B35" s="392" t="str">
        <f>'KV_1.1.sz.mell.'!B37</f>
        <v>Települési adó</v>
      </c>
      <c r="C35" s="276"/>
    </row>
    <row r="36" spans="1:3" s="88" customFormat="1" ht="12" customHeight="1" thickBot="1">
      <c r="A36" s="413" t="s">
        <v>543</v>
      </c>
      <c r="B36" s="392" t="str">
        <f>'KV_1.1.sz.mell.'!B38</f>
        <v>Egyéb adó</v>
      </c>
      <c r="C36" s="278"/>
    </row>
    <row r="37" spans="1:3" s="88" customFormat="1" ht="12" customHeight="1" thickBot="1">
      <c r="A37" s="32" t="s">
        <v>22</v>
      </c>
      <c r="B37" s="21" t="s">
        <v>426</v>
      </c>
      <c r="C37" s="274">
        <f>SUM(C38:C48)</f>
        <v>120563000</v>
      </c>
    </row>
    <row r="38" spans="1:3" s="88" customFormat="1" ht="12" customHeight="1">
      <c r="A38" s="411" t="s">
        <v>90</v>
      </c>
      <c r="B38" s="392" t="s">
        <v>270</v>
      </c>
      <c r="C38" s="277"/>
    </row>
    <row r="39" spans="1:3" s="88" customFormat="1" ht="12" customHeight="1">
      <c r="A39" s="412" t="s">
        <v>91</v>
      </c>
      <c r="B39" s="393" t="s">
        <v>271</v>
      </c>
      <c r="C39" s="276">
        <v>79000000</v>
      </c>
    </row>
    <row r="40" spans="1:3" s="88" customFormat="1" ht="12" customHeight="1">
      <c r="A40" s="412" t="s">
        <v>92</v>
      </c>
      <c r="B40" s="393" t="s">
        <v>272</v>
      </c>
      <c r="C40" s="276">
        <v>1900000</v>
      </c>
    </row>
    <row r="41" spans="1:3" s="88" customFormat="1" ht="12" customHeight="1">
      <c r="A41" s="412" t="s">
        <v>171</v>
      </c>
      <c r="B41" s="393" t="s">
        <v>273</v>
      </c>
      <c r="C41" s="276"/>
    </row>
    <row r="42" spans="1:3" s="88" customFormat="1" ht="12" customHeight="1">
      <c r="A42" s="412" t="s">
        <v>172</v>
      </c>
      <c r="B42" s="393" t="s">
        <v>274</v>
      </c>
      <c r="C42" s="276">
        <v>19413000</v>
      </c>
    </row>
    <row r="43" spans="1:3" s="88" customFormat="1" ht="12" customHeight="1">
      <c r="A43" s="412" t="s">
        <v>173</v>
      </c>
      <c r="B43" s="393" t="s">
        <v>275</v>
      </c>
      <c r="C43" s="276">
        <v>20250000</v>
      </c>
    </row>
    <row r="44" spans="1:3" s="88" customFormat="1" ht="12" customHeight="1">
      <c r="A44" s="412" t="s">
        <v>174</v>
      </c>
      <c r="B44" s="393" t="s">
        <v>276</v>
      </c>
      <c r="C44" s="276"/>
    </row>
    <row r="45" spans="1:3" s="88" customFormat="1" ht="12" customHeight="1">
      <c r="A45" s="412" t="s">
        <v>175</v>
      </c>
      <c r="B45" s="393" t="s">
        <v>549</v>
      </c>
      <c r="C45" s="276"/>
    </row>
    <row r="46" spans="1:3" s="88" customFormat="1" ht="12" customHeight="1">
      <c r="A46" s="412" t="s">
        <v>268</v>
      </c>
      <c r="B46" s="393" t="s">
        <v>278</v>
      </c>
      <c r="C46" s="279"/>
    </row>
    <row r="47" spans="1:3" s="88" customFormat="1" ht="12" customHeight="1">
      <c r="A47" s="413" t="s">
        <v>269</v>
      </c>
      <c r="B47" s="394" t="s">
        <v>428</v>
      </c>
      <c r="C47" s="380"/>
    </row>
    <row r="48" spans="1:3" s="88" customFormat="1" ht="12" customHeight="1" thickBot="1">
      <c r="A48" s="413" t="s">
        <v>427</v>
      </c>
      <c r="B48" s="394" t="s">
        <v>279</v>
      </c>
      <c r="C48" s="380"/>
    </row>
    <row r="49" spans="1:3" s="88" customFormat="1" ht="12" customHeight="1" thickBot="1">
      <c r="A49" s="32" t="s">
        <v>23</v>
      </c>
      <c r="B49" s="21" t="s">
        <v>280</v>
      </c>
      <c r="C49" s="274">
        <f>SUM(C50:C54)</f>
        <v>0</v>
      </c>
    </row>
    <row r="50" spans="1:3" s="88" customFormat="1" ht="12" customHeight="1">
      <c r="A50" s="411" t="s">
        <v>93</v>
      </c>
      <c r="B50" s="392" t="s">
        <v>284</v>
      </c>
      <c r="C50" s="436"/>
    </row>
    <row r="51" spans="1:3" s="88" customFormat="1" ht="12" customHeight="1">
      <c r="A51" s="412" t="s">
        <v>94</v>
      </c>
      <c r="B51" s="393" t="s">
        <v>285</v>
      </c>
      <c r="C51" s="279"/>
    </row>
    <row r="52" spans="1:3" s="88" customFormat="1" ht="12" customHeight="1">
      <c r="A52" s="412" t="s">
        <v>281</v>
      </c>
      <c r="B52" s="393" t="s">
        <v>286</v>
      </c>
      <c r="C52" s="279"/>
    </row>
    <row r="53" spans="1:3" s="88" customFormat="1" ht="12" customHeight="1">
      <c r="A53" s="412" t="s">
        <v>282</v>
      </c>
      <c r="B53" s="393" t="s">
        <v>287</v>
      </c>
      <c r="C53" s="279"/>
    </row>
    <row r="54" spans="1:3" s="88" customFormat="1" ht="12" customHeight="1" thickBot="1">
      <c r="A54" s="413" t="s">
        <v>283</v>
      </c>
      <c r="B54" s="394" t="s">
        <v>288</v>
      </c>
      <c r="C54" s="380"/>
    </row>
    <row r="55" spans="1:3" s="88" customFormat="1" ht="12" customHeight="1" thickBot="1">
      <c r="A55" s="32" t="s">
        <v>176</v>
      </c>
      <c r="B55" s="21" t="s">
        <v>289</v>
      </c>
      <c r="C55" s="274">
        <f>SUM(C56:C58)</f>
        <v>0</v>
      </c>
    </row>
    <row r="56" spans="1:3" s="88" customFormat="1" ht="12" customHeight="1">
      <c r="A56" s="411" t="s">
        <v>95</v>
      </c>
      <c r="B56" s="392" t="s">
        <v>290</v>
      </c>
      <c r="C56" s="277"/>
    </row>
    <row r="57" spans="1:3" s="88" customFormat="1" ht="12" customHeight="1">
      <c r="A57" s="412" t="s">
        <v>96</v>
      </c>
      <c r="B57" s="393" t="s">
        <v>418</v>
      </c>
      <c r="C57" s="276"/>
    </row>
    <row r="58" spans="1:3" s="88" customFormat="1" ht="12" customHeight="1">
      <c r="A58" s="412" t="s">
        <v>293</v>
      </c>
      <c r="B58" s="393" t="s">
        <v>291</v>
      </c>
      <c r="C58" s="276"/>
    </row>
    <row r="59" spans="1:3" s="88" customFormat="1" ht="12" customHeight="1" thickBot="1">
      <c r="A59" s="413" t="s">
        <v>294</v>
      </c>
      <c r="B59" s="394" t="s">
        <v>292</v>
      </c>
      <c r="C59" s="278"/>
    </row>
    <row r="60" spans="1:3" s="88" customFormat="1" ht="12" customHeight="1" thickBot="1">
      <c r="A60" s="32" t="s">
        <v>25</v>
      </c>
      <c r="B60" s="269" t="s">
        <v>295</v>
      </c>
      <c r="C60" s="274">
        <f>SUM(C61:C63)</f>
        <v>0</v>
      </c>
    </row>
    <row r="61" spans="1:3" s="88" customFormat="1" ht="12" customHeight="1">
      <c r="A61" s="411" t="s">
        <v>177</v>
      </c>
      <c r="B61" s="392" t="s">
        <v>297</v>
      </c>
      <c r="C61" s="279"/>
    </row>
    <row r="62" spans="1:3" s="88" customFormat="1" ht="12" customHeight="1">
      <c r="A62" s="412" t="s">
        <v>178</v>
      </c>
      <c r="B62" s="393" t="s">
        <v>419</v>
      </c>
      <c r="C62" s="279"/>
    </row>
    <row r="63" spans="1:3" s="88" customFormat="1" ht="12" customHeight="1">
      <c r="A63" s="412" t="s">
        <v>226</v>
      </c>
      <c r="B63" s="393" t="s">
        <v>298</v>
      </c>
      <c r="C63" s="279"/>
    </row>
    <row r="64" spans="1:3" s="88" customFormat="1" ht="12" customHeight="1" thickBot="1">
      <c r="A64" s="413" t="s">
        <v>296</v>
      </c>
      <c r="B64" s="394" t="s">
        <v>299</v>
      </c>
      <c r="C64" s="279"/>
    </row>
    <row r="65" spans="1:3" s="88" customFormat="1" ht="12" customHeight="1" thickBot="1">
      <c r="A65" s="32" t="s">
        <v>26</v>
      </c>
      <c r="B65" s="21" t="s">
        <v>300</v>
      </c>
      <c r="C65" s="280">
        <f>+C8+C15+C22+C29+C37+C49+C55+C60</f>
        <v>195563000</v>
      </c>
    </row>
    <row r="66" spans="1:3" s="88" customFormat="1" ht="12" customHeight="1" thickBot="1">
      <c r="A66" s="414" t="s">
        <v>387</v>
      </c>
      <c r="B66" s="269" t="s">
        <v>302</v>
      </c>
      <c r="C66" s="274">
        <f>SUM(C67:C69)</f>
        <v>0</v>
      </c>
    </row>
    <row r="67" spans="1:3" s="88" customFormat="1" ht="12" customHeight="1">
      <c r="A67" s="411" t="s">
        <v>330</v>
      </c>
      <c r="B67" s="392" t="s">
        <v>303</v>
      </c>
      <c r="C67" s="279"/>
    </row>
    <row r="68" spans="1:3" s="88" customFormat="1" ht="12" customHeight="1">
      <c r="A68" s="412" t="s">
        <v>339</v>
      </c>
      <c r="B68" s="393" t="s">
        <v>304</v>
      </c>
      <c r="C68" s="279"/>
    </row>
    <row r="69" spans="1:3" s="88" customFormat="1" ht="12" customHeight="1" thickBot="1">
      <c r="A69" s="413" t="s">
        <v>340</v>
      </c>
      <c r="B69" s="395" t="s">
        <v>305</v>
      </c>
      <c r="C69" s="279"/>
    </row>
    <row r="70" spans="1:3" s="88" customFormat="1" ht="12" customHeight="1" thickBot="1">
      <c r="A70" s="414" t="s">
        <v>306</v>
      </c>
      <c r="B70" s="269" t="s">
        <v>307</v>
      </c>
      <c r="C70" s="274">
        <f>SUM(C71:C74)</f>
        <v>0</v>
      </c>
    </row>
    <row r="71" spans="1:3" s="88" customFormat="1" ht="12" customHeight="1">
      <c r="A71" s="411" t="s">
        <v>146</v>
      </c>
      <c r="B71" s="392" t="s">
        <v>308</v>
      </c>
      <c r="C71" s="279"/>
    </row>
    <row r="72" spans="1:3" s="88" customFormat="1" ht="12" customHeight="1">
      <c r="A72" s="412" t="s">
        <v>147</v>
      </c>
      <c r="B72" s="393" t="s">
        <v>558</v>
      </c>
      <c r="C72" s="279"/>
    </row>
    <row r="73" spans="1:3" s="88" customFormat="1" ht="12" customHeight="1">
      <c r="A73" s="412" t="s">
        <v>331</v>
      </c>
      <c r="B73" s="393" t="s">
        <v>309</v>
      </c>
      <c r="C73" s="279"/>
    </row>
    <row r="74" spans="1:3" s="88" customFormat="1" ht="12" customHeight="1">
      <c r="A74" s="412" t="s">
        <v>332</v>
      </c>
      <c r="B74" s="270" t="s">
        <v>559</v>
      </c>
      <c r="C74" s="279"/>
    </row>
    <row r="75" spans="1:3" s="88" customFormat="1" ht="12" customHeight="1" thickBot="1">
      <c r="A75" s="418" t="s">
        <v>310</v>
      </c>
      <c r="B75" s="548" t="s">
        <v>311</v>
      </c>
      <c r="C75" s="460">
        <f>SUM(C76:C77)</f>
        <v>0</v>
      </c>
    </row>
    <row r="76" spans="1:3" s="88" customFormat="1" ht="12" customHeight="1">
      <c r="A76" s="411" t="s">
        <v>333</v>
      </c>
      <c r="B76" s="392" t="s">
        <v>312</v>
      </c>
      <c r="C76" s="279"/>
    </row>
    <row r="77" spans="1:3" s="88" customFormat="1" ht="12" customHeight="1" thickBot="1">
      <c r="A77" s="413" t="s">
        <v>334</v>
      </c>
      <c r="B77" s="394" t="s">
        <v>313</v>
      </c>
      <c r="C77" s="279"/>
    </row>
    <row r="78" spans="1:3" s="87" customFormat="1" ht="12" customHeight="1" thickBot="1">
      <c r="A78" s="414" t="s">
        <v>314</v>
      </c>
      <c r="B78" s="269" t="s">
        <v>315</v>
      </c>
      <c r="C78" s="274">
        <f>SUM(C79:C81)</f>
        <v>0</v>
      </c>
    </row>
    <row r="79" spans="1:3" s="88" customFormat="1" ht="12" customHeight="1">
      <c r="A79" s="411" t="s">
        <v>335</v>
      </c>
      <c r="B79" s="392" t="s">
        <v>316</v>
      </c>
      <c r="C79" s="279"/>
    </row>
    <row r="80" spans="1:3" s="88" customFormat="1" ht="12" customHeight="1">
      <c r="A80" s="412" t="s">
        <v>336</v>
      </c>
      <c r="B80" s="393" t="s">
        <v>317</v>
      </c>
      <c r="C80" s="279"/>
    </row>
    <row r="81" spans="1:3" s="88" customFormat="1" ht="12" customHeight="1" thickBot="1">
      <c r="A81" s="413" t="s">
        <v>337</v>
      </c>
      <c r="B81" s="394" t="s">
        <v>560</v>
      </c>
      <c r="C81" s="279"/>
    </row>
    <row r="82" spans="1:3" s="88" customFormat="1" ht="12" customHeight="1" thickBot="1">
      <c r="A82" s="414" t="s">
        <v>318</v>
      </c>
      <c r="B82" s="269" t="s">
        <v>338</v>
      </c>
      <c r="C82" s="274">
        <f>SUM(C83:C86)</f>
        <v>0</v>
      </c>
    </row>
    <row r="83" spans="1:3" s="88" customFormat="1" ht="12" customHeight="1">
      <c r="A83" s="415" t="s">
        <v>319</v>
      </c>
      <c r="B83" s="392" t="s">
        <v>320</v>
      </c>
      <c r="C83" s="279"/>
    </row>
    <row r="84" spans="1:3" s="88" customFormat="1" ht="12" customHeight="1">
      <c r="A84" s="416" t="s">
        <v>321</v>
      </c>
      <c r="B84" s="393" t="s">
        <v>322</v>
      </c>
      <c r="C84" s="279"/>
    </row>
    <row r="85" spans="1:3" s="88" customFormat="1" ht="12" customHeight="1">
      <c r="A85" s="416" t="s">
        <v>323</v>
      </c>
      <c r="B85" s="393" t="s">
        <v>324</v>
      </c>
      <c r="C85" s="279"/>
    </row>
    <row r="86" spans="1:3" s="87" customFormat="1" ht="12" customHeight="1" thickBot="1">
      <c r="A86" s="417" t="s">
        <v>325</v>
      </c>
      <c r="B86" s="394" t="s">
        <v>326</v>
      </c>
      <c r="C86" s="279"/>
    </row>
    <row r="87" spans="1:3" s="87" customFormat="1" ht="12" customHeight="1" thickBot="1">
      <c r="A87" s="414" t="s">
        <v>327</v>
      </c>
      <c r="B87" s="269" t="s">
        <v>467</v>
      </c>
      <c r="C87" s="437"/>
    </row>
    <row r="88" spans="1:3" s="87" customFormat="1" ht="12" customHeight="1" thickBot="1">
      <c r="A88" s="414" t="s">
        <v>499</v>
      </c>
      <c r="B88" s="269" t="s">
        <v>328</v>
      </c>
      <c r="C88" s="437"/>
    </row>
    <row r="89" spans="1:3" s="87" customFormat="1" ht="12" customHeight="1" thickBot="1">
      <c r="A89" s="414" t="s">
        <v>500</v>
      </c>
      <c r="B89" s="399" t="s">
        <v>470</v>
      </c>
      <c r="C89" s="280">
        <f>+C66+C70+C75+C78+C82+C88+C87</f>
        <v>0</v>
      </c>
    </row>
    <row r="90" spans="1:3" s="87" customFormat="1" ht="12" customHeight="1" thickBot="1">
      <c r="A90" s="418" t="s">
        <v>501</v>
      </c>
      <c r="B90" s="400" t="s">
        <v>502</v>
      </c>
      <c r="C90" s="280">
        <f>+C65+C89</f>
        <v>195563000</v>
      </c>
    </row>
    <row r="91" spans="1:3" s="88" customFormat="1" ht="6.75" customHeight="1" thickBot="1">
      <c r="A91" s="217"/>
      <c r="B91" s="218"/>
      <c r="C91" s="339"/>
    </row>
    <row r="92" spans="1:3" s="68" customFormat="1" ht="16.5" customHeight="1" thickBot="1">
      <c r="A92" s="221"/>
      <c r="B92" s="222" t="s">
        <v>57</v>
      </c>
      <c r="C92" s="341"/>
    </row>
    <row r="93" spans="1:3" s="89" customFormat="1" ht="12" customHeight="1" thickBot="1">
      <c r="A93" s="386" t="s">
        <v>18</v>
      </c>
      <c r="B93" s="28" t="s">
        <v>506</v>
      </c>
      <c r="C93" s="273">
        <f>+C94+C95+C96+C97+C98+C111</f>
        <v>58440180</v>
      </c>
    </row>
    <row r="94" spans="1:3" ht="12" customHeight="1">
      <c r="A94" s="419" t="s">
        <v>97</v>
      </c>
      <c r="B94" s="10" t="s">
        <v>49</v>
      </c>
      <c r="C94" s="275">
        <v>10380000</v>
      </c>
    </row>
    <row r="95" spans="1:3" ht="12" customHeight="1">
      <c r="A95" s="412" t="s">
        <v>98</v>
      </c>
      <c r="B95" s="8" t="s">
        <v>179</v>
      </c>
      <c r="C95" s="276">
        <v>1729000</v>
      </c>
    </row>
    <row r="96" spans="1:3" ht="12" customHeight="1">
      <c r="A96" s="412" t="s">
        <v>99</v>
      </c>
      <c r="B96" s="8" t="s">
        <v>137</v>
      </c>
      <c r="C96" s="278">
        <v>46331180</v>
      </c>
    </row>
    <row r="97" spans="1:3" ht="12" customHeight="1">
      <c r="A97" s="412" t="s">
        <v>100</v>
      </c>
      <c r="B97" s="11" t="s">
        <v>180</v>
      </c>
      <c r="C97" s="278"/>
    </row>
    <row r="98" spans="1:3" ht="12" customHeight="1">
      <c r="A98" s="412" t="s">
        <v>111</v>
      </c>
      <c r="B98" s="19" t="s">
        <v>181</v>
      </c>
      <c r="C98" s="278"/>
    </row>
    <row r="99" spans="1:3" ht="12" customHeight="1">
      <c r="A99" s="412" t="s">
        <v>101</v>
      </c>
      <c r="B99" s="8" t="s">
        <v>503</v>
      </c>
      <c r="C99" s="278"/>
    </row>
    <row r="100" spans="1:3" ht="12" customHeight="1">
      <c r="A100" s="412" t="s">
        <v>102</v>
      </c>
      <c r="B100" s="136" t="s">
        <v>433</v>
      </c>
      <c r="C100" s="278"/>
    </row>
    <row r="101" spans="1:3" ht="12" customHeight="1">
      <c r="A101" s="412" t="s">
        <v>112</v>
      </c>
      <c r="B101" s="136" t="s">
        <v>432</v>
      </c>
      <c r="C101" s="278"/>
    </row>
    <row r="102" spans="1:3" ht="12" customHeight="1">
      <c r="A102" s="412" t="s">
        <v>113</v>
      </c>
      <c r="B102" s="136" t="s">
        <v>344</v>
      </c>
      <c r="C102" s="278"/>
    </row>
    <row r="103" spans="1:3" ht="12" customHeight="1">
      <c r="A103" s="412" t="s">
        <v>114</v>
      </c>
      <c r="B103" s="137" t="s">
        <v>345</v>
      </c>
      <c r="C103" s="278"/>
    </row>
    <row r="104" spans="1:3" ht="12" customHeight="1">
      <c r="A104" s="412" t="s">
        <v>115</v>
      </c>
      <c r="B104" s="137" t="s">
        <v>346</v>
      </c>
      <c r="C104" s="278"/>
    </row>
    <row r="105" spans="1:3" ht="12" customHeight="1">
      <c r="A105" s="412" t="s">
        <v>117</v>
      </c>
      <c r="B105" s="136" t="s">
        <v>347</v>
      </c>
      <c r="C105" s="278"/>
    </row>
    <row r="106" spans="1:3" ht="12" customHeight="1">
      <c r="A106" s="412" t="s">
        <v>182</v>
      </c>
      <c r="B106" s="136" t="s">
        <v>348</v>
      </c>
      <c r="C106" s="278"/>
    </row>
    <row r="107" spans="1:3" ht="12" customHeight="1">
      <c r="A107" s="412" t="s">
        <v>342</v>
      </c>
      <c r="B107" s="137" t="s">
        <v>349</v>
      </c>
      <c r="C107" s="278"/>
    </row>
    <row r="108" spans="1:3" ht="12" customHeight="1">
      <c r="A108" s="420" t="s">
        <v>343</v>
      </c>
      <c r="B108" s="138" t="s">
        <v>350</v>
      </c>
      <c r="C108" s="278"/>
    </row>
    <row r="109" spans="1:3" ht="12" customHeight="1">
      <c r="A109" s="412" t="s">
        <v>430</v>
      </c>
      <c r="B109" s="138" t="s">
        <v>351</v>
      </c>
      <c r="C109" s="278"/>
    </row>
    <row r="110" spans="1:3" ht="12" customHeight="1">
      <c r="A110" s="412" t="s">
        <v>431</v>
      </c>
      <c r="B110" s="137" t="s">
        <v>352</v>
      </c>
      <c r="C110" s="276"/>
    </row>
    <row r="111" spans="1:3" ht="12" customHeight="1">
      <c r="A111" s="412" t="s">
        <v>435</v>
      </c>
      <c r="B111" s="11" t="s">
        <v>50</v>
      </c>
      <c r="C111" s="276"/>
    </row>
    <row r="112" spans="1:3" ht="12" customHeight="1">
      <c r="A112" s="413" t="s">
        <v>436</v>
      </c>
      <c r="B112" s="8" t="s">
        <v>504</v>
      </c>
      <c r="C112" s="278"/>
    </row>
    <row r="113" spans="1:3" ht="12" customHeight="1" thickBot="1">
      <c r="A113" s="421" t="s">
        <v>437</v>
      </c>
      <c r="B113" s="139" t="s">
        <v>505</v>
      </c>
      <c r="C113" s="282"/>
    </row>
    <row r="114" spans="1:3" ht="12" customHeight="1" thickBot="1">
      <c r="A114" s="32" t="s">
        <v>19</v>
      </c>
      <c r="B114" s="27" t="s">
        <v>353</v>
      </c>
      <c r="C114" s="274">
        <f>+C115+C117+C119</f>
        <v>125250000</v>
      </c>
    </row>
    <row r="115" spans="1:3" ht="12" customHeight="1">
      <c r="A115" s="411" t="s">
        <v>103</v>
      </c>
      <c r="B115" s="8" t="s">
        <v>225</v>
      </c>
      <c r="C115" s="277"/>
    </row>
    <row r="116" spans="1:3" ht="12" customHeight="1">
      <c r="A116" s="411" t="s">
        <v>104</v>
      </c>
      <c r="B116" s="12" t="s">
        <v>357</v>
      </c>
      <c r="C116" s="277"/>
    </row>
    <row r="117" spans="1:3" ht="12" customHeight="1">
      <c r="A117" s="411" t="s">
        <v>105</v>
      </c>
      <c r="B117" s="12" t="s">
        <v>183</v>
      </c>
      <c r="C117" s="276">
        <v>125250000</v>
      </c>
    </row>
    <row r="118" spans="1:3" ht="12" customHeight="1">
      <c r="A118" s="411" t="s">
        <v>106</v>
      </c>
      <c r="B118" s="12" t="s">
        <v>358</v>
      </c>
      <c r="C118" s="245"/>
    </row>
    <row r="119" spans="1:3" ht="12" customHeight="1">
      <c r="A119" s="411" t="s">
        <v>107</v>
      </c>
      <c r="B119" s="271" t="s">
        <v>227</v>
      </c>
      <c r="C119" s="245"/>
    </row>
    <row r="120" spans="1:3" ht="12" customHeight="1">
      <c r="A120" s="411" t="s">
        <v>116</v>
      </c>
      <c r="B120" s="270" t="s">
        <v>420</v>
      </c>
      <c r="C120" s="245"/>
    </row>
    <row r="121" spans="1:3" ht="12" customHeight="1">
      <c r="A121" s="411" t="s">
        <v>118</v>
      </c>
      <c r="B121" s="388" t="s">
        <v>363</v>
      </c>
      <c r="C121" s="245"/>
    </row>
    <row r="122" spans="1:3" ht="12" customHeight="1">
      <c r="A122" s="411" t="s">
        <v>184</v>
      </c>
      <c r="B122" s="137" t="s">
        <v>346</v>
      </c>
      <c r="C122" s="245"/>
    </row>
    <row r="123" spans="1:3" ht="12" customHeight="1">
      <c r="A123" s="411" t="s">
        <v>185</v>
      </c>
      <c r="B123" s="137" t="s">
        <v>362</v>
      </c>
      <c r="C123" s="245"/>
    </row>
    <row r="124" spans="1:3" ht="12" customHeight="1">
      <c r="A124" s="411" t="s">
        <v>186</v>
      </c>
      <c r="B124" s="137" t="s">
        <v>361</v>
      </c>
      <c r="C124" s="245"/>
    </row>
    <row r="125" spans="1:3" ht="12" customHeight="1">
      <c r="A125" s="411" t="s">
        <v>354</v>
      </c>
      <c r="B125" s="137" t="s">
        <v>349</v>
      </c>
      <c r="C125" s="245"/>
    </row>
    <row r="126" spans="1:3" ht="12" customHeight="1">
      <c r="A126" s="411" t="s">
        <v>355</v>
      </c>
      <c r="B126" s="137" t="s">
        <v>360</v>
      </c>
      <c r="C126" s="245"/>
    </row>
    <row r="127" spans="1:3" ht="12" customHeight="1" thickBot="1">
      <c r="A127" s="420" t="s">
        <v>356</v>
      </c>
      <c r="B127" s="137" t="s">
        <v>359</v>
      </c>
      <c r="C127" s="247"/>
    </row>
    <row r="128" spans="1:3" ht="12" customHeight="1" thickBot="1">
      <c r="A128" s="32" t="s">
        <v>20</v>
      </c>
      <c r="B128" s="118" t="s">
        <v>440</v>
      </c>
      <c r="C128" s="274">
        <f>+C93+C114</f>
        <v>183690180</v>
      </c>
    </row>
    <row r="129" spans="1:3" ht="12" customHeight="1" thickBot="1">
      <c r="A129" s="32" t="s">
        <v>21</v>
      </c>
      <c r="B129" s="118" t="s">
        <v>441</v>
      </c>
      <c r="C129" s="274">
        <f>+C130+C131+C132</f>
        <v>0</v>
      </c>
    </row>
    <row r="130" spans="1:3" s="89" customFormat="1" ht="12" customHeight="1">
      <c r="A130" s="411" t="s">
        <v>263</v>
      </c>
      <c r="B130" s="9" t="s">
        <v>509</v>
      </c>
      <c r="C130" s="245"/>
    </row>
    <row r="131" spans="1:3" ht="12" customHeight="1">
      <c r="A131" s="411" t="s">
        <v>264</v>
      </c>
      <c r="B131" s="9" t="s">
        <v>449</v>
      </c>
      <c r="C131" s="245"/>
    </row>
    <row r="132" spans="1:3" ht="12" customHeight="1" thickBot="1">
      <c r="A132" s="420" t="s">
        <v>265</v>
      </c>
      <c r="B132" s="7" t="s">
        <v>508</v>
      </c>
      <c r="C132" s="245"/>
    </row>
    <row r="133" spans="1:3" ht="12" customHeight="1" thickBot="1">
      <c r="A133" s="32" t="s">
        <v>22</v>
      </c>
      <c r="B133" s="118" t="s">
        <v>442</v>
      </c>
      <c r="C133" s="274">
        <f>+C134+C135+C136+C137+C138+C139</f>
        <v>0</v>
      </c>
    </row>
    <row r="134" spans="1:3" ht="12" customHeight="1">
      <c r="A134" s="411" t="s">
        <v>90</v>
      </c>
      <c r="B134" s="9" t="s">
        <v>451</v>
      </c>
      <c r="C134" s="245"/>
    </row>
    <row r="135" spans="1:3" ht="12" customHeight="1">
      <c r="A135" s="411" t="s">
        <v>91</v>
      </c>
      <c r="B135" s="9" t="s">
        <v>443</v>
      </c>
      <c r="C135" s="245"/>
    </row>
    <row r="136" spans="1:3" ht="12" customHeight="1">
      <c r="A136" s="411" t="s">
        <v>92</v>
      </c>
      <c r="B136" s="9" t="s">
        <v>444</v>
      </c>
      <c r="C136" s="245"/>
    </row>
    <row r="137" spans="1:3" ht="12" customHeight="1">
      <c r="A137" s="411" t="s">
        <v>171</v>
      </c>
      <c r="B137" s="9" t="s">
        <v>507</v>
      </c>
      <c r="C137" s="245"/>
    </row>
    <row r="138" spans="1:3" ht="12" customHeight="1">
      <c r="A138" s="411" t="s">
        <v>172</v>
      </c>
      <c r="B138" s="9" t="s">
        <v>446</v>
      </c>
      <c r="C138" s="245"/>
    </row>
    <row r="139" spans="1:3" s="89" customFormat="1" ht="12" customHeight="1" thickBot="1">
      <c r="A139" s="420" t="s">
        <v>173</v>
      </c>
      <c r="B139" s="7" t="s">
        <v>447</v>
      </c>
      <c r="C139" s="245"/>
    </row>
    <row r="140" spans="1:11" ht="12" customHeight="1" thickBot="1">
      <c r="A140" s="32" t="s">
        <v>23</v>
      </c>
      <c r="B140" s="118" t="s">
        <v>530</v>
      </c>
      <c r="C140" s="280">
        <f>+C141+C142+C144+C145+C143</f>
        <v>0</v>
      </c>
      <c r="K140" s="228"/>
    </row>
    <row r="141" spans="1:3" ht="12.75">
      <c r="A141" s="411" t="s">
        <v>93</v>
      </c>
      <c r="B141" s="9" t="s">
        <v>364</v>
      </c>
      <c r="C141" s="245"/>
    </row>
    <row r="142" spans="1:3" ht="12" customHeight="1">
      <c r="A142" s="411" t="s">
        <v>94</v>
      </c>
      <c r="B142" s="9" t="s">
        <v>365</v>
      </c>
      <c r="C142" s="245"/>
    </row>
    <row r="143" spans="1:3" s="89" customFormat="1" ht="12" customHeight="1">
      <c r="A143" s="411" t="s">
        <v>281</v>
      </c>
      <c r="B143" s="9" t="s">
        <v>529</v>
      </c>
      <c r="C143" s="245"/>
    </row>
    <row r="144" spans="1:3" s="89" customFormat="1" ht="12" customHeight="1">
      <c r="A144" s="411" t="s">
        <v>282</v>
      </c>
      <c r="B144" s="9" t="s">
        <v>456</v>
      </c>
      <c r="C144" s="245"/>
    </row>
    <row r="145" spans="1:3" s="89" customFormat="1" ht="12" customHeight="1" thickBot="1">
      <c r="A145" s="420" t="s">
        <v>283</v>
      </c>
      <c r="B145" s="7" t="s">
        <v>383</v>
      </c>
      <c r="C145" s="245"/>
    </row>
    <row r="146" spans="1:3" s="89" customFormat="1" ht="12" customHeight="1" thickBot="1">
      <c r="A146" s="32" t="s">
        <v>24</v>
      </c>
      <c r="B146" s="118" t="s">
        <v>457</v>
      </c>
      <c r="C146" s="283">
        <f>+C147+C148+C149+C150+C151</f>
        <v>0</v>
      </c>
    </row>
    <row r="147" spans="1:3" s="89" customFormat="1" ht="12" customHeight="1">
      <c r="A147" s="411" t="s">
        <v>95</v>
      </c>
      <c r="B147" s="9" t="s">
        <v>452</v>
      </c>
      <c r="C147" s="245"/>
    </row>
    <row r="148" spans="1:3" s="89" customFormat="1" ht="12" customHeight="1">
      <c r="A148" s="411" t="s">
        <v>96</v>
      </c>
      <c r="B148" s="9" t="s">
        <v>459</v>
      </c>
      <c r="C148" s="245"/>
    </row>
    <row r="149" spans="1:3" s="89" customFormat="1" ht="12" customHeight="1">
      <c r="A149" s="411" t="s">
        <v>293</v>
      </c>
      <c r="B149" s="9" t="s">
        <v>454</v>
      </c>
      <c r="C149" s="245"/>
    </row>
    <row r="150" spans="1:3" ht="12.75" customHeight="1">
      <c r="A150" s="411" t="s">
        <v>294</v>
      </c>
      <c r="B150" s="9" t="s">
        <v>510</v>
      </c>
      <c r="C150" s="245"/>
    </row>
    <row r="151" spans="1:3" ht="12.75" customHeight="1" thickBot="1">
      <c r="A151" s="420" t="s">
        <v>458</v>
      </c>
      <c r="B151" s="7" t="s">
        <v>461</v>
      </c>
      <c r="C151" s="247"/>
    </row>
    <row r="152" spans="1:3" ht="12.75" customHeight="1" thickBot="1">
      <c r="A152" s="465" t="s">
        <v>25</v>
      </c>
      <c r="B152" s="118" t="s">
        <v>462</v>
      </c>
      <c r="C152" s="283"/>
    </row>
    <row r="153" spans="1:3" ht="12" customHeight="1" thickBot="1">
      <c r="A153" s="465" t="s">
        <v>26</v>
      </c>
      <c r="B153" s="118" t="s">
        <v>463</v>
      </c>
      <c r="C153" s="283"/>
    </row>
    <row r="154" spans="1:3" ht="15" customHeight="1" thickBot="1">
      <c r="A154" s="32" t="s">
        <v>27</v>
      </c>
      <c r="B154" s="118" t="s">
        <v>465</v>
      </c>
      <c r="C154" s="402">
        <f>+C129+C133+C140+C146+C152+C153</f>
        <v>0</v>
      </c>
    </row>
    <row r="155" spans="1:3" ht="13.5" thickBot="1">
      <c r="A155" s="422" t="s">
        <v>28</v>
      </c>
      <c r="B155" s="357" t="s">
        <v>464</v>
      </c>
      <c r="C155" s="402">
        <f>+C128+C154</f>
        <v>183690180</v>
      </c>
    </row>
    <row r="156" spans="1:3" ht="12.75" customHeight="1" thickBot="1">
      <c r="A156" s="365"/>
      <c r="B156" s="366"/>
      <c r="C156" s="588">
        <f>C90-C155</f>
        <v>11872820</v>
      </c>
    </row>
    <row r="157" spans="1:3" ht="14.25" customHeight="1" thickBot="1">
      <c r="A157" s="226" t="s">
        <v>511</v>
      </c>
      <c r="B157" s="227"/>
      <c r="C157" s="115">
        <v>8</v>
      </c>
    </row>
    <row r="158" spans="1:3" ht="13.5" thickBot="1">
      <c r="A158" s="226" t="s">
        <v>201</v>
      </c>
      <c r="B158" s="227"/>
      <c r="C158" s="115"/>
    </row>
    <row r="159" spans="1:3" ht="12.75">
      <c r="A159" s="585"/>
      <c r="B159" s="586"/>
      <c r="C159" s="587"/>
    </row>
    <row r="160" spans="1:2" ht="12.75">
      <c r="A160" s="585"/>
      <c r="B160" s="586"/>
    </row>
    <row r="161" spans="1:3" ht="12.75">
      <c r="A161" s="585"/>
      <c r="B161" s="586"/>
      <c r="C161" s="587"/>
    </row>
    <row r="162" spans="1:3" ht="12.75">
      <c r="A162" s="585"/>
      <c r="B162" s="586"/>
      <c r="C162" s="587"/>
    </row>
    <row r="163" spans="1:3" ht="12.75">
      <c r="A163" s="585"/>
      <c r="B163" s="586"/>
      <c r="C163" s="587"/>
    </row>
    <row r="164" spans="1:3" ht="12.75">
      <c r="A164" s="585"/>
      <c r="B164" s="586"/>
      <c r="C164" s="587"/>
    </row>
    <row r="165" spans="1:3" ht="12.75">
      <c r="A165" s="585"/>
      <c r="B165" s="586"/>
      <c r="C165" s="587"/>
    </row>
    <row r="166" spans="1:3" ht="12.75">
      <c r="A166" s="585"/>
      <c r="B166" s="586"/>
      <c r="C166" s="587"/>
    </row>
    <row r="167" spans="1:3" ht="12.75">
      <c r="A167" s="585"/>
      <c r="B167" s="586"/>
      <c r="C167" s="587"/>
    </row>
    <row r="168" spans="1:3" ht="12.75">
      <c r="A168" s="585"/>
      <c r="B168" s="586"/>
      <c r="C168" s="587"/>
    </row>
    <row r="169" spans="1:3" ht="12.75">
      <c r="A169" s="585"/>
      <c r="B169" s="586"/>
      <c r="C169" s="587"/>
    </row>
    <row r="170" spans="1:3" ht="12.75">
      <c r="A170" s="585"/>
      <c r="B170" s="586"/>
      <c r="C170" s="587"/>
    </row>
    <row r="171" spans="1:3" ht="12.75">
      <c r="A171" s="585"/>
      <c r="B171" s="586"/>
      <c r="C171" s="587"/>
    </row>
    <row r="172" spans="1:3" ht="12.75">
      <c r="A172" s="585"/>
      <c r="B172" s="586"/>
      <c r="C172" s="587"/>
    </row>
    <row r="173" spans="1:3" ht="12.75">
      <c r="A173" s="585"/>
      <c r="B173" s="586"/>
      <c r="C173" s="587"/>
    </row>
    <row r="174" spans="1:3" ht="12.75">
      <c r="A174" s="585"/>
      <c r="B174" s="586"/>
      <c r="C174" s="587"/>
    </row>
    <row r="175" spans="1:3" ht="12.75">
      <c r="A175" s="585"/>
      <c r="B175" s="586"/>
      <c r="C175" s="587"/>
    </row>
    <row r="176" spans="1:3" ht="12.75">
      <c r="A176" s="585"/>
      <c r="B176" s="586"/>
      <c r="C176" s="587"/>
    </row>
    <row r="177" spans="1:3" ht="12.75">
      <c r="A177" s="585"/>
      <c r="B177" s="586"/>
      <c r="C177" s="587"/>
    </row>
    <row r="178" spans="1:3" ht="12.75">
      <c r="A178" s="585"/>
      <c r="B178" s="586"/>
      <c r="C178" s="58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="120" zoomScaleNormal="120" zoomScalePageLayoutView="0" workbookViewId="0" topLeftCell="A1">
      <selection activeCell="F7" sqref="F7"/>
    </sheetView>
  </sheetViews>
  <sheetFormatPr defaultColWidth="9.00390625" defaultRowHeight="12.75"/>
  <cols>
    <col min="1" max="1" width="33.50390625" style="0" customWidth="1"/>
    <col min="2" max="2" width="18.875" style="0" customWidth="1"/>
    <col min="3" max="3" width="1.875" style="0" bestFit="1" customWidth="1"/>
    <col min="4" max="4" width="6.00390625" style="0" bestFit="1" customWidth="1"/>
    <col min="5" max="5" width="1.875" style="0" bestFit="1" customWidth="1"/>
    <col min="6" max="6" width="11.00390625" style="0" customWidth="1"/>
    <col min="11" max="11" width="12.375" style="0" customWidth="1"/>
    <col min="13" max="16" width="0" style="0" hidden="1" customWidth="1"/>
  </cols>
  <sheetData>
    <row r="1" spans="1:12" ht="18">
      <c r="A1" s="745" t="s">
        <v>572</v>
      </c>
      <c r="B1" s="745"/>
      <c r="C1" s="745"/>
      <c r="D1" s="745"/>
      <c r="E1" s="745"/>
      <c r="F1" s="745"/>
      <c r="G1" s="745"/>
      <c r="H1" s="745"/>
      <c r="I1" s="745"/>
      <c r="J1" s="745"/>
      <c r="K1" s="621"/>
      <c r="L1" s="621"/>
    </row>
    <row r="2" spans="1:12" ht="12.75">
      <c r="A2" s="621"/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</row>
    <row r="3" spans="1:12" ht="15.75">
      <c r="A3" s="744" t="s">
        <v>682</v>
      </c>
      <c r="B3" s="744"/>
      <c r="C3" s="744"/>
      <c r="D3" s="744"/>
      <c r="E3" s="744"/>
      <c r="F3" s="744"/>
      <c r="G3" s="744"/>
      <c r="H3" s="744"/>
      <c r="I3" s="744"/>
      <c r="J3" s="744"/>
      <c r="K3" s="621"/>
      <c r="L3" s="621"/>
    </row>
    <row r="4" spans="1:12" ht="12.75">
      <c r="A4" s="621"/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</row>
    <row r="5" spans="1:12" ht="12.75">
      <c r="A5" s="621"/>
      <c r="B5" s="621"/>
      <c r="C5" s="621"/>
      <c r="D5" s="621"/>
      <c r="E5" s="621"/>
      <c r="F5" s="621"/>
      <c r="G5" s="621"/>
      <c r="H5" s="621"/>
      <c r="I5" s="621"/>
      <c r="J5" s="621"/>
      <c r="K5" s="621"/>
      <c r="L5" s="621"/>
    </row>
    <row r="6" spans="1:12" ht="14.25">
      <c r="A6" s="693" t="s">
        <v>658</v>
      </c>
      <c r="B6" s="621"/>
      <c r="C6" s="621"/>
      <c r="D6" s="621"/>
      <c r="E6" s="621"/>
      <c r="F6" s="621"/>
      <c r="G6" s="621"/>
      <c r="H6" s="621"/>
      <c r="I6" s="621"/>
      <c r="J6" s="621"/>
      <c r="K6" s="621"/>
      <c r="L6" s="621"/>
    </row>
    <row r="7" spans="1:12" ht="12.75">
      <c r="A7" s="672" t="s">
        <v>637</v>
      </c>
      <c r="B7" s="691">
        <v>2</v>
      </c>
      <c r="C7" s="154" t="s">
        <v>634</v>
      </c>
      <c r="D7" s="154">
        <f>TARTALOMJEGYZÉK!A1</f>
        <v>2020</v>
      </c>
      <c r="E7" s="154" t="s">
        <v>635</v>
      </c>
      <c r="F7" s="691" t="s">
        <v>745</v>
      </c>
      <c r="G7" s="154" t="s">
        <v>636</v>
      </c>
      <c r="H7" s="154" t="s">
        <v>638</v>
      </c>
      <c r="I7" s="154"/>
      <c r="J7" s="154"/>
      <c r="K7" s="154"/>
      <c r="L7" s="621"/>
    </row>
    <row r="8" spans="1:12" ht="12.75">
      <c r="A8" s="694"/>
      <c r="B8" s="692"/>
      <c r="C8" s="621"/>
      <c r="D8" s="621"/>
      <c r="E8" s="621"/>
      <c r="F8" s="692"/>
      <c r="G8" s="621"/>
      <c r="H8" s="621"/>
      <c r="I8" s="621"/>
      <c r="J8" s="621"/>
      <c r="K8" s="621"/>
      <c r="L8" s="621"/>
    </row>
    <row r="9" spans="1:12" ht="12.75">
      <c r="A9" s="694"/>
      <c r="B9" s="692"/>
      <c r="C9" s="621"/>
      <c r="D9" s="621"/>
      <c r="E9" s="621"/>
      <c r="F9" s="692"/>
      <c r="G9" s="621"/>
      <c r="H9" s="621"/>
      <c r="I9" s="621"/>
      <c r="J9" s="621"/>
      <c r="K9" s="621"/>
      <c r="L9" s="621"/>
    </row>
    <row r="10" spans="1:12" ht="13.5" thickBot="1">
      <c r="A10" s="621"/>
      <c r="B10" s="621"/>
      <c r="C10" s="621"/>
      <c r="D10" s="621"/>
      <c r="E10" s="621"/>
      <c r="F10" s="621"/>
      <c r="G10" s="621"/>
      <c r="H10" s="621"/>
      <c r="I10" s="621"/>
      <c r="J10" s="621"/>
      <c r="K10" s="648" t="s">
        <v>664</v>
      </c>
      <c r="L10" s="621"/>
    </row>
    <row r="11" spans="1:16" ht="17.25" thickBot="1" thickTop="1">
      <c r="A11" s="744" t="s">
        <v>660</v>
      </c>
      <c r="B11" s="748"/>
      <c r="C11" s="748"/>
      <c r="D11" s="748"/>
      <c r="E11" s="748"/>
      <c r="F11" s="748"/>
      <c r="G11" s="748"/>
      <c r="H11" s="749"/>
      <c r="I11" s="749"/>
      <c r="J11" s="749"/>
      <c r="K11" s="695" t="s">
        <v>681</v>
      </c>
      <c r="L11" s="621"/>
      <c r="M11" s="649" t="s">
        <v>26</v>
      </c>
      <c r="N11">
        <f>IF($K$11="Nem","",2)</f>
      </c>
      <c r="O11" t="s">
        <v>665</v>
      </c>
      <c r="P11" t="str">
        <f>CONCATENATE(M11,N11,O11)</f>
        <v>9..</v>
      </c>
    </row>
    <row r="12" spans="1:12" ht="13.5" thickTop="1">
      <c r="A12" s="621"/>
      <c r="B12" s="621"/>
      <c r="C12" s="621"/>
      <c r="D12" s="621"/>
      <c r="E12" s="621"/>
      <c r="F12" s="621"/>
      <c r="G12" s="621"/>
      <c r="H12" s="621"/>
      <c r="I12" s="621"/>
      <c r="J12" s="621"/>
      <c r="K12" s="621"/>
      <c r="L12" s="621"/>
    </row>
    <row r="13" spans="1:16" ht="14.25">
      <c r="A13" s="696" t="s">
        <v>574</v>
      </c>
      <c r="B13" s="746" t="s">
        <v>683</v>
      </c>
      <c r="C13" s="747"/>
      <c r="D13" s="747"/>
      <c r="E13" s="747"/>
      <c r="F13" s="747"/>
      <c r="G13" s="747"/>
      <c r="H13" s="747"/>
      <c r="I13" s="747"/>
      <c r="J13" s="747"/>
      <c r="K13" s="621"/>
      <c r="L13" s="621"/>
      <c r="M13" s="649" t="s">
        <v>26</v>
      </c>
      <c r="N13">
        <f>IF(K11="Nem",2,3)</f>
        <v>2</v>
      </c>
      <c r="O13" t="s">
        <v>665</v>
      </c>
      <c r="P13" t="str">
        <f>CONCATENATE(M13,N13,O13)</f>
        <v>9.2.</v>
      </c>
    </row>
    <row r="14" spans="1:12" ht="14.25">
      <c r="A14" s="621"/>
      <c r="B14" s="622"/>
      <c r="C14" s="621"/>
      <c r="D14" s="621"/>
      <c r="E14" s="621"/>
      <c r="F14" s="621"/>
      <c r="G14" s="621"/>
      <c r="H14" s="621"/>
      <c r="I14" s="621"/>
      <c r="J14" s="621"/>
      <c r="K14" s="621"/>
      <c r="L14" s="621"/>
    </row>
    <row r="15" spans="1:16" ht="14.25">
      <c r="A15" s="696" t="s">
        <v>575</v>
      </c>
      <c r="B15" s="746" t="s">
        <v>583</v>
      </c>
      <c r="C15" s="747"/>
      <c r="D15" s="747"/>
      <c r="E15" s="747"/>
      <c r="F15" s="747"/>
      <c r="G15" s="747"/>
      <c r="H15" s="747"/>
      <c r="I15" s="747"/>
      <c r="J15" s="747"/>
      <c r="K15" s="621"/>
      <c r="L15" s="621"/>
      <c r="M15" s="649" t="s">
        <v>26</v>
      </c>
      <c r="N15">
        <f>N13+1</f>
        <v>3</v>
      </c>
      <c r="O15" t="s">
        <v>665</v>
      </c>
      <c r="P15" t="str">
        <f>CONCATENATE(M15,N15,O15)</f>
        <v>9.3.</v>
      </c>
    </row>
    <row r="16" spans="1:12" ht="14.25">
      <c r="A16" s="621"/>
      <c r="B16" s="622"/>
      <c r="C16" s="621"/>
      <c r="D16" s="621"/>
      <c r="E16" s="621"/>
      <c r="F16" s="621"/>
      <c r="G16" s="621"/>
      <c r="H16" s="621"/>
      <c r="I16" s="621"/>
      <c r="J16" s="621"/>
      <c r="K16" s="621"/>
      <c r="L16" s="621"/>
    </row>
    <row r="17" spans="1:16" ht="14.25">
      <c r="A17" s="696" t="s">
        <v>576</v>
      </c>
      <c r="B17" s="746" t="s">
        <v>659</v>
      </c>
      <c r="C17" s="747"/>
      <c r="D17" s="747"/>
      <c r="E17" s="747"/>
      <c r="F17" s="747"/>
      <c r="G17" s="747"/>
      <c r="H17" s="747"/>
      <c r="I17" s="747"/>
      <c r="J17" s="747"/>
      <c r="K17" s="621"/>
      <c r="L17" s="621"/>
      <c r="M17" s="649" t="s">
        <v>26</v>
      </c>
      <c r="N17">
        <f>N15+1</f>
        <v>4</v>
      </c>
      <c r="O17" t="s">
        <v>665</v>
      </c>
      <c r="P17" t="str">
        <f>CONCATENATE(M17,N17,O17)</f>
        <v>9.4.</v>
      </c>
    </row>
    <row r="18" spans="1:12" ht="14.25">
      <c r="A18" s="621"/>
      <c r="B18" s="622"/>
      <c r="C18" s="621"/>
      <c r="D18" s="621"/>
      <c r="E18" s="621"/>
      <c r="F18" s="621"/>
      <c r="G18" s="621"/>
      <c r="H18" s="621"/>
      <c r="I18" s="621"/>
      <c r="J18" s="621"/>
      <c r="K18" s="621"/>
      <c r="L18" s="621"/>
    </row>
    <row r="19" spans="1:16" ht="14.25">
      <c r="A19" s="696" t="s">
        <v>577</v>
      </c>
      <c r="B19" s="746" t="s">
        <v>584</v>
      </c>
      <c r="C19" s="747"/>
      <c r="D19" s="747"/>
      <c r="E19" s="747"/>
      <c r="F19" s="747"/>
      <c r="G19" s="747"/>
      <c r="H19" s="747"/>
      <c r="I19" s="747"/>
      <c r="J19" s="747"/>
      <c r="K19" s="621"/>
      <c r="L19" s="621"/>
      <c r="M19" s="649" t="s">
        <v>26</v>
      </c>
      <c r="N19">
        <f>N17+1</f>
        <v>5</v>
      </c>
      <c r="O19" t="s">
        <v>665</v>
      </c>
      <c r="P19" t="str">
        <f>CONCATENATE(M19,N19,O19)</f>
        <v>9.5.</v>
      </c>
    </row>
    <row r="20" spans="1:12" ht="14.25">
      <c r="A20" s="621"/>
      <c r="B20" s="622"/>
      <c r="C20" s="621"/>
      <c r="D20" s="621"/>
      <c r="E20" s="621"/>
      <c r="F20" s="621"/>
      <c r="G20" s="621"/>
      <c r="H20" s="621"/>
      <c r="I20" s="621"/>
      <c r="J20" s="621"/>
      <c r="K20" s="621"/>
      <c r="L20" s="621"/>
    </row>
    <row r="21" spans="1:16" ht="14.25">
      <c r="A21" s="696" t="s">
        <v>578</v>
      </c>
      <c r="B21" s="746" t="s">
        <v>585</v>
      </c>
      <c r="C21" s="747"/>
      <c r="D21" s="747"/>
      <c r="E21" s="747"/>
      <c r="F21" s="747"/>
      <c r="G21" s="747"/>
      <c r="H21" s="747"/>
      <c r="I21" s="747"/>
      <c r="J21" s="747"/>
      <c r="K21" s="621"/>
      <c r="L21" s="621"/>
      <c r="M21" s="649" t="s">
        <v>26</v>
      </c>
      <c r="N21">
        <f>N19+1</f>
        <v>6</v>
      </c>
      <c r="O21" t="s">
        <v>665</v>
      </c>
      <c r="P21" t="str">
        <f>CONCATENATE(M21,N21,O21)</f>
        <v>9.6.</v>
      </c>
    </row>
    <row r="22" spans="1:12" ht="14.25">
      <c r="A22" s="621"/>
      <c r="B22" s="622"/>
      <c r="C22" s="621"/>
      <c r="D22" s="621"/>
      <c r="E22" s="621"/>
      <c r="F22" s="621"/>
      <c r="G22" s="621"/>
      <c r="H22" s="621"/>
      <c r="I22" s="621"/>
      <c r="J22" s="621"/>
      <c r="K22" s="621"/>
      <c r="L22" s="621"/>
    </row>
    <row r="23" spans="1:16" ht="14.25">
      <c r="A23" s="696" t="s">
        <v>579</v>
      </c>
      <c r="B23" s="746" t="s">
        <v>586</v>
      </c>
      <c r="C23" s="747"/>
      <c r="D23" s="747"/>
      <c r="E23" s="747"/>
      <c r="F23" s="747"/>
      <c r="G23" s="747"/>
      <c r="H23" s="747"/>
      <c r="I23" s="747"/>
      <c r="J23" s="747"/>
      <c r="K23" s="621"/>
      <c r="L23" s="621"/>
      <c r="M23" s="649" t="s">
        <v>26</v>
      </c>
      <c r="N23">
        <f>N21+1</f>
        <v>7</v>
      </c>
      <c r="O23" t="s">
        <v>665</v>
      </c>
      <c r="P23" t="str">
        <f>CONCATENATE(M23,N23,O23)</f>
        <v>9.7.</v>
      </c>
    </row>
    <row r="24" spans="1:12" ht="14.25">
      <c r="A24" s="621"/>
      <c r="B24" s="622"/>
      <c r="C24" s="621"/>
      <c r="D24" s="621"/>
      <c r="E24" s="621"/>
      <c r="F24" s="621"/>
      <c r="G24" s="621"/>
      <c r="H24" s="621"/>
      <c r="I24" s="621"/>
      <c r="J24" s="621"/>
      <c r="K24" s="621"/>
      <c r="L24" s="621"/>
    </row>
    <row r="25" spans="1:16" ht="14.25">
      <c r="A25" s="696" t="s">
        <v>580</v>
      </c>
      <c r="B25" s="746" t="s">
        <v>587</v>
      </c>
      <c r="C25" s="747"/>
      <c r="D25" s="747"/>
      <c r="E25" s="747"/>
      <c r="F25" s="747"/>
      <c r="G25" s="747"/>
      <c r="H25" s="747"/>
      <c r="I25" s="747"/>
      <c r="J25" s="747"/>
      <c r="K25" s="621"/>
      <c r="L25" s="621"/>
      <c r="M25" s="649" t="s">
        <v>26</v>
      </c>
      <c r="N25">
        <f>N23+1</f>
        <v>8</v>
      </c>
      <c r="O25" t="s">
        <v>665</v>
      </c>
      <c r="P25" t="str">
        <f>CONCATENATE(M25,N25,O25)</f>
        <v>9.8.</v>
      </c>
    </row>
    <row r="26" spans="1:12" ht="14.25">
      <c r="A26" s="621"/>
      <c r="B26" s="622"/>
      <c r="C26" s="621"/>
      <c r="D26" s="621"/>
      <c r="E26" s="621"/>
      <c r="F26" s="621"/>
      <c r="G26" s="621"/>
      <c r="H26" s="621"/>
      <c r="I26" s="621"/>
      <c r="J26" s="621"/>
      <c r="K26" s="621"/>
      <c r="L26" s="621"/>
    </row>
    <row r="27" spans="1:16" ht="14.25">
      <c r="A27" s="696" t="s">
        <v>581</v>
      </c>
      <c r="B27" s="746" t="s">
        <v>588</v>
      </c>
      <c r="C27" s="747"/>
      <c r="D27" s="747"/>
      <c r="E27" s="747"/>
      <c r="F27" s="747"/>
      <c r="G27" s="747"/>
      <c r="H27" s="747"/>
      <c r="I27" s="747"/>
      <c r="J27" s="747"/>
      <c r="K27" s="621"/>
      <c r="L27" s="621"/>
      <c r="M27" s="649" t="s">
        <v>26</v>
      </c>
      <c r="N27">
        <f>N25+1</f>
        <v>9</v>
      </c>
      <c r="O27" t="s">
        <v>665</v>
      </c>
      <c r="P27" t="str">
        <f>CONCATENATE(M27,N27,O27)</f>
        <v>9.9.</v>
      </c>
    </row>
    <row r="28" spans="1:12" ht="14.25">
      <c r="A28" s="621"/>
      <c r="B28" s="622"/>
      <c r="C28" s="621"/>
      <c r="D28" s="621"/>
      <c r="E28" s="621"/>
      <c r="F28" s="621"/>
      <c r="G28" s="621"/>
      <c r="H28" s="621"/>
      <c r="I28" s="621"/>
      <c r="J28" s="621"/>
      <c r="K28" s="621"/>
      <c r="L28" s="621"/>
    </row>
    <row r="29" spans="1:16" ht="14.25">
      <c r="A29" s="696" t="s">
        <v>581</v>
      </c>
      <c r="B29" s="746" t="s">
        <v>589</v>
      </c>
      <c r="C29" s="747"/>
      <c r="D29" s="747"/>
      <c r="E29" s="747"/>
      <c r="F29" s="747"/>
      <c r="G29" s="747"/>
      <c r="H29" s="747"/>
      <c r="I29" s="747"/>
      <c r="J29" s="747"/>
      <c r="K29" s="621"/>
      <c r="L29" s="621"/>
      <c r="M29" s="649" t="s">
        <v>26</v>
      </c>
      <c r="N29">
        <f>N27+1</f>
        <v>10</v>
      </c>
      <c r="O29" t="s">
        <v>665</v>
      </c>
      <c r="P29" t="str">
        <f>CONCATENATE(M29,N29,O29)</f>
        <v>9.10.</v>
      </c>
    </row>
    <row r="30" spans="1:12" ht="14.25">
      <c r="A30" s="621"/>
      <c r="B30" s="622"/>
      <c r="C30" s="621"/>
      <c r="D30" s="621"/>
      <c r="E30" s="621"/>
      <c r="F30" s="621"/>
      <c r="G30" s="621"/>
      <c r="H30" s="621"/>
      <c r="I30" s="621"/>
      <c r="J30" s="621"/>
      <c r="K30" s="621"/>
      <c r="L30" s="621"/>
    </row>
    <row r="31" spans="1:16" ht="14.25">
      <c r="A31" s="696" t="s">
        <v>582</v>
      </c>
      <c r="B31" s="746" t="s">
        <v>590</v>
      </c>
      <c r="C31" s="747"/>
      <c r="D31" s="747"/>
      <c r="E31" s="747"/>
      <c r="F31" s="747"/>
      <c r="G31" s="747"/>
      <c r="H31" s="747"/>
      <c r="I31" s="747"/>
      <c r="J31" s="747"/>
      <c r="K31" s="621"/>
      <c r="L31" s="621"/>
      <c r="M31" s="649" t="s">
        <v>26</v>
      </c>
      <c r="N31">
        <f>N29+1</f>
        <v>11</v>
      </c>
      <c r="O31" t="s">
        <v>665</v>
      </c>
      <c r="P31" t="str">
        <f>CONCATENATE(M31,N31,O31)</f>
        <v>9.11.</v>
      </c>
    </row>
    <row r="32" spans="1:12" ht="12.75">
      <c r="A32" s="621"/>
      <c r="B32" s="621"/>
      <c r="C32" s="621"/>
      <c r="D32" s="621"/>
      <c r="E32" s="621"/>
      <c r="F32" s="621"/>
      <c r="G32" s="621"/>
      <c r="H32" s="621"/>
      <c r="I32" s="621"/>
      <c r="J32" s="621"/>
      <c r="K32" s="621"/>
      <c r="L32" s="621"/>
    </row>
    <row r="33" spans="1:12" ht="14.25">
      <c r="A33" s="696"/>
      <c r="B33" s="621"/>
      <c r="C33" s="621"/>
      <c r="D33" s="621"/>
      <c r="E33" s="621"/>
      <c r="F33" s="621"/>
      <c r="G33" s="621"/>
      <c r="H33" s="621"/>
      <c r="I33" s="621"/>
      <c r="J33" s="621"/>
      <c r="K33" s="621"/>
      <c r="L33" s="621"/>
    </row>
    <row r="34" spans="1:12" ht="12.75">
      <c r="A34" s="621"/>
      <c r="B34" s="621"/>
      <c r="C34" s="621"/>
      <c r="D34" s="621"/>
      <c r="E34" s="621"/>
      <c r="F34" s="621"/>
      <c r="G34" s="621"/>
      <c r="H34" s="621"/>
      <c r="I34" s="621"/>
      <c r="J34" s="621"/>
      <c r="K34" s="621"/>
      <c r="L34" s="621"/>
    </row>
  </sheetData>
  <sheetProtection sheet="1"/>
  <mergeCells count="13">
    <mergeCell ref="B31:J31"/>
    <mergeCell ref="B13:J13"/>
    <mergeCell ref="B15:J15"/>
    <mergeCell ref="B17:J17"/>
    <mergeCell ref="B19:J19"/>
    <mergeCell ref="A11:J11"/>
    <mergeCell ref="B29:J29"/>
    <mergeCell ref="A3:J3"/>
    <mergeCell ref="A1:J1"/>
    <mergeCell ref="B21:J21"/>
    <mergeCell ref="B23:J23"/>
    <mergeCell ref="B25:J25"/>
    <mergeCell ref="B27:J27"/>
  </mergeCells>
  <conditionalFormatting sqref="A11:J11">
    <cfRule type="expression" priority="1" dxfId="4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6"/>
  <sheetViews>
    <sheetView zoomScale="120" zoomScaleNormal="120" zoomScaleSheetLayoutView="85" workbookViewId="0" topLeftCell="A1">
      <selection activeCell="H21" sqref="H21"/>
    </sheetView>
  </sheetViews>
  <sheetFormatPr defaultColWidth="9.00390625" defaultRowHeight="12.75"/>
  <cols>
    <col min="1" max="1" width="19.50390625" style="367" customWidth="1"/>
    <col min="2" max="2" width="72.00390625" style="368" customWidth="1"/>
    <col min="3" max="3" width="25.00390625" style="369" customWidth="1"/>
    <col min="4" max="16384" width="9.375" style="3" customWidth="1"/>
  </cols>
  <sheetData>
    <row r="1" spans="1:3" s="2" customFormat="1" ht="16.5" customHeight="1" thickBot="1">
      <c r="A1" s="566"/>
      <c r="B1" s="567"/>
      <c r="C1" s="563" t="str">
        <f>CONCATENATE("9.1.3. melléklet ",ALAPADATOK!A7," ",ALAPADATOK!B7," ",ALAPADATOK!C7," ",ALAPADATOK!D7," ",ALAPADATOK!E7," ",ALAPADATOK!F7," ",ALAPADATOK!G7," ",ALAPADATOK!H7)</f>
        <v>9.1.3. melléklet a 2 / 2020 ( II. 21. ) önkormányzati rendelethez</v>
      </c>
    </row>
    <row r="2" spans="1:3" s="85" customFormat="1" ht="21" customHeight="1">
      <c r="A2" s="568" t="s">
        <v>61</v>
      </c>
      <c r="B2" s="569" t="str">
        <f>CONCATENATE(ALAPADATOK!A3)</f>
        <v>BALATONGYÖRÖK KÖZSÉG ÖNKORMÁNYZATA</v>
      </c>
      <c r="C2" s="570" t="s">
        <v>54</v>
      </c>
    </row>
    <row r="3" spans="1:3" s="85" customFormat="1" ht="16.5" thickBot="1">
      <c r="A3" s="571" t="s">
        <v>198</v>
      </c>
      <c r="B3" s="572" t="s">
        <v>517</v>
      </c>
      <c r="C3" s="573" t="s">
        <v>423</v>
      </c>
    </row>
    <row r="4" spans="1:3" s="86" customFormat="1" ht="22.5" customHeight="1" thickBot="1">
      <c r="A4" s="574"/>
      <c r="B4" s="574"/>
      <c r="C4" s="575" t="str">
        <f>'KV_9.1.2.sz.mell.'!C4</f>
        <v>Forintban!</v>
      </c>
    </row>
    <row r="5" spans="1:3" ht="13.5" thickBot="1">
      <c r="A5" s="576" t="s">
        <v>200</v>
      </c>
      <c r="B5" s="577" t="s">
        <v>551</v>
      </c>
      <c r="C5" s="578" t="s">
        <v>55</v>
      </c>
    </row>
    <row r="6" spans="1:3" s="68" customFormat="1" ht="12.75" customHeight="1" thickBot="1">
      <c r="A6" s="579"/>
      <c r="B6" s="580" t="s">
        <v>485</v>
      </c>
      <c r="C6" s="581" t="s">
        <v>486</v>
      </c>
    </row>
    <row r="7" spans="1:3" s="68" customFormat="1" ht="15.75" customHeight="1" thickBot="1">
      <c r="A7" s="211"/>
      <c r="B7" s="212" t="s">
        <v>56</v>
      </c>
      <c r="C7" s="334"/>
    </row>
    <row r="8" spans="1:3" s="68" customFormat="1" ht="12" customHeight="1" thickBot="1">
      <c r="A8" s="32" t="s">
        <v>18</v>
      </c>
      <c r="B8" s="21" t="s">
        <v>247</v>
      </c>
      <c r="C8" s="274">
        <f>+C9+C10+C11+C12+C13+C14</f>
        <v>0</v>
      </c>
    </row>
    <row r="9" spans="1:3" s="87" customFormat="1" ht="12" customHeight="1">
      <c r="A9" s="411" t="s">
        <v>97</v>
      </c>
      <c r="B9" s="392" t="s">
        <v>248</v>
      </c>
      <c r="C9" s="277"/>
    </row>
    <row r="10" spans="1:3" s="88" customFormat="1" ht="12" customHeight="1">
      <c r="A10" s="412" t="s">
        <v>98</v>
      </c>
      <c r="B10" s="393" t="s">
        <v>249</v>
      </c>
      <c r="C10" s="276"/>
    </row>
    <row r="11" spans="1:3" s="88" customFormat="1" ht="12" customHeight="1">
      <c r="A11" s="412" t="s">
        <v>99</v>
      </c>
      <c r="B11" s="393" t="s">
        <v>539</v>
      </c>
      <c r="C11" s="276"/>
    </row>
    <row r="12" spans="1:3" s="88" customFormat="1" ht="12" customHeight="1">
      <c r="A12" s="412" t="s">
        <v>100</v>
      </c>
      <c r="B12" s="393" t="s">
        <v>251</v>
      </c>
      <c r="C12" s="276"/>
    </row>
    <row r="13" spans="1:3" s="88" customFormat="1" ht="12" customHeight="1">
      <c r="A13" s="412" t="s">
        <v>145</v>
      </c>
      <c r="B13" s="393" t="s">
        <v>498</v>
      </c>
      <c r="C13" s="276"/>
    </row>
    <row r="14" spans="1:3" s="87" customFormat="1" ht="12" customHeight="1" thickBot="1">
      <c r="A14" s="413" t="s">
        <v>101</v>
      </c>
      <c r="B14" s="394" t="s">
        <v>425</v>
      </c>
      <c r="C14" s="276"/>
    </row>
    <row r="15" spans="1:3" s="87" customFormat="1" ht="12" customHeight="1" thickBot="1">
      <c r="A15" s="32" t="s">
        <v>19</v>
      </c>
      <c r="B15" s="269" t="s">
        <v>252</v>
      </c>
      <c r="C15" s="274">
        <f>+C16+C17+C18+C19+C20</f>
        <v>0</v>
      </c>
    </row>
    <row r="16" spans="1:3" s="87" customFormat="1" ht="12" customHeight="1">
      <c r="A16" s="411" t="s">
        <v>103</v>
      </c>
      <c r="B16" s="392" t="s">
        <v>253</v>
      </c>
      <c r="C16" s="277"/>
    </row>
    <row r="17" spans="1:3" s="87" customFormat="1" ht="12" customHeight="1">
      <c r="A17" s="412" t="s">
        <v>104</v>
      </c>
      <c r="B17" s="393" t="s">
        <v>254</v>
      </c>
      <c r="C17" s="276"/>
    </row>
    <row r="18" spans="1:3" s="87" customFormat="1" ht="12" customHeight="1">
      <c r="A18" s="412" t="s">
        <v>105</v>
      </c>
      <c r="B18" s="393" t="s">
        <v>414</v>
      </c>
      <c r="C18" s="276"/>
    </row>
    <row r="19" spans="1:3" s="87" customFormat="1" ht="12" customHeight="1">
      <c r="A19" s="412" t="s">
        <v>106</v>
      </c>
      <c r="B19" s="393" t="s">
        <v>415</v>
      </c>
      <c r="C19" s="276"/>
    </row>
    <row r="20" spans="1:3" s="87" customFormat="1" ht="12" customHeight="1">
      <c r="A20" s="412" t="s">
        <v>107</v>
      </c>
      <c r="B20" s="393" t="s">
        <v>255</v>
      </c>
      <c r="C20" s="276"/>
    </row>
    <row r="21" spans="1:3" s="88" customFormat="1" ht="12" customHeight="1" thickBot="1">
      <c r="A21" s="413" t="s">
        <v>116</v>
      </c>
      <c r="B21" s="394" t="s">
        <v>256</v>
      </c>
      <c r="C21" s="278"/>
    </row>
    <row r="22" spans="1:3" s="88" customFormat="1" ht="12" customHeight="1" thickBot="1">
      <c r="A22" s="32" t="s">
        <v>20</v>
      </c>
      <c r="B22" s="21" t="s">
        <v>257</v>
      </c>
      <c r="C22" s="274">
        <f>+C23+C24+C25+C26+C27</f>
        <v>0</v>
      </c>
    </row>
    <row r="23" spans="1:3" s="88" customFormat="1" ht="12" customHeight="1">
      <c r="A23" s="411" t="s">
        <v>86</v>
      </c>
      <c r="B23" s="392" t="s">
        <v>258</v>
      </c>
      <c r="C23" s="277"/>
    </row>
    <row r="24" spans="1:3" s="87" customFormat="1" ht="12" customHeight="1">
      <c r="A24" s="412" t="s">
        <v>87</v>
      </c>
      <c r="B24" s="393" t="s">
        <v>259</v>
      </c>
      <c r="C24" s="276"/>
    </row>
    <row r="25" spans="1:3" s="88" customFormat="1" ht="12" customHeight="1">
      <c r="A25" s="412" t="s">
        <v>88</v>
      </c>
      <c r="B25" s="393" t="s">
        <v>416</v>
      </c>
      <c r="C25" s="276"/>
    </row>
    <row r="26" spans="1:3" s="88" customFormat="1" ht="12" customHeight="1">
      <c r="A26" s="412" t="s">
        <v>89</v>
      </c>
      <c r="B26" s="393" t="s">
        <v>417</v>
      </c>
      <c r="C26" s="276"/>
    </row>
    <row r="27" spans="1:3" s="88" customFormat="1" ht="12" customHeight="1">
      <c r="A27" s="412" t="s">
        <v>167</v>
      </c>
      <c r="B27" s="393" t="s">
        <v>260</v>
      </c>
      <c r="C27" s="276"/>
    </row>
    <row r="28" spans="1:3" s="88" customFormat="1" ht="12" customHeight="1" thickBot="1">
      <c r="A28" s="413" t="s">
        <v>168</v>
      </c>
      <c r="B28" s="394" t="s">
        <v>261</v>
      </c>
      <c r="C28" s="278"/>
    </row>
    <row r="29" spans="1:3" s="88" customFormat="1" ht="12" customHeight="1" thickBot="1">
      <c r="A29" s="32" t="s">
        <v>169</v>
      </c>
      <c r="B29" s="21" t="s">
        <v>262</v>
      </c>
      <c r="C29" s="280">
        <f>SUM(C30:C36)</f>
        <v>0</v>
      </c>
    </row>
    <row r="30" spans="1:3" s="88" customFormat="1" ht="12" customHeight="1">
      <c r="A30" s="411" t="s">
        <v>263</v>
      </c>
      <c r="B30" s="392" t="str">
        <f>'KV_1.1.sz.mell.'!B32</f>
        <v>Építményadó</v>
      </c>
      <c r="C30" s="277"/>
    </row>
    <row r="31" spans="1:3" s="88" customFormat="1" ht="12" customHeight="1">
      <c r="A31" s="412" t="s">
        <v>264</v>
      </c>
      <c r="B31" s="392" t="str">
        <f>'KV_1.1.sz.mell.'!B33</f>
        <v>Telekadó</v>
      </c>
      <c r="C31" s="276"/>
    </row>
    <row r="32" spans="1:3" s="88" customFormat="1" ht="12" customHeight="1">
      <c r="A32" s="412" t="s">
        <v>265</v>
      </c>
      <c r="B32" s="392" t="str">
        <f>'KV_1.1.sz.mell.'!B34</f>
        <v>Iparűzési adó</v>
      </c>
      <c r="C32" s="276"/>
    </row>
    <row r="33" spans="1:3" s="88" customFormat="1" ht="12" customHeight="1">
      <c r="A33" s="412" t="s">
        <v>266</v>
      </c>
      <c r="B33" s="392" t="str">
        <f>'KV_1.1.sz.mell.'!B35</f>
        <v>Idegenforgalmi adó</v>
      </c>
      <c r="C33" s="276"/>
    </row>
    <row r="34" spans="1:3" s="88" customFormat="1" ht="12" customHeight="1">
      <c r="A34" s="412" t="s">
        <v>541</v>
      </c>
      <c r="B34" s="392" t="str">
        <f>'KV_1.1.sz.mell.'!B36</f>
        <v>Gépjárműadó</v>
      </c>
      <c r="C34" s="276"/>
    </row>
    <row r="35" spans="1:3" s="88" customFormat="1" ht="12" customHeight="1">
      <c r="A35" s="412" t="s">
        <v>542</v>
      </c>
      <c r="B35" s="392" t="str">
        <f>'KV_1.1.sz.mell.'!B37</f>
        <v>Települési adó</v>
      </c>
      <c r="C35" s="276"/>
    </row>
    <row r="36" spans="1:3" s="88" customFormat="1" ht="12" customHeight="1" thickBot="1">
      <c r="A36" s="413" t="s">
        <v>543</v>
      </c>
      <c r="B36" s="392" t="str">
        <f>'KV_1.1.sz.mell.'!B38</f>
        <v>Egyéb adó</v>
      </c>
      <c r="C36" s="278"/>
    </row>
    <row r="37" spans="1:3" s="88" customFormat="1" ht="12" customHeight="1" thickBot="1">
      <c r="A37" s="32" t="s">
        <v>22</v>
      </c>
      <c r="B37" s="21" t="s">
        <v>426</v>
      </c>
      <c r="C37" s="274">
        <f>SUM(C38:C48)</f>
        <v>0</v>
      </c>
    </row>
    <row r="38" spans="1:3" s="88" customFormat="1" ht="12" customHeight="1">
      <c r="A38" s="411" t="s">
        <v>90</v>
      </c>
      <c r="B38" s="392" t="s">
        <v>270</v>
      </c>
      <c r="C38" s="277"/>
    </row>
    <row r="39" spans="1:3" s="88" customFormat="1" ht="12" customHeight="1">
      <c r="A39" s="412" t="s">
        <v>91</v>
      </c>
      <c r="B39" s="393" t="s">
        <v>271</v>
      </c>
      <c r="C39" s="276"/>
    </row>
    <row r="40" spans="1:3" s="88" customFormat="1" ht="12" customHeight="1">
      <c r="A40" s="412" t="s">
        <v>92</v>
      </c>
      <c r="B40" s="393" t="s">
        <v>272</v>
      </c>
      <c r="C40" s="276"/>
    </row>
    <row r="41" spans="1:3" s="88" customFormat="1" ht="12" customHeight="1">
      <c r="A41" s="412" t="s">
        <v>171</v>
      </c>
      <c r="B41" s="393" t="s">
        <v>273</v>
      </c>
      <c r="C41" s="276"/>
    </row>
    <row r="42" spans="1:3" s="88" customFormat="1" ht="12" customHeight="1">
      <c r="A42" s="412" t="s">
        <v>172</v>
      </c>
      <c r="B42" s="393" t="s">
        <v>274</v>
      </c>
      <c r="C42" s="276"/>
    </row>
    <row r="43" spans="1:3" s="88" customFormat="1" ht="12" customHeight="1">
      <c r="A43" s="412" t="s">
        <v>173</v>
      </c>
      <c r="B43" s="393" t="s">
        <v>275</v>
      </c>
      <c r="C43" s="276"/>
    </row>
    <row r="44" spans="1:3" s="88" customFormat="1" ht="12" customHeight="1">
      <c r="A44" s="412" t="s">
        <v>174</v>
      </c>
      <c r="B44" s="393" t="s">
        <v>276</v>
      </c>
      <c r="C44" s="276"/>
    </row>
    <row r="45" spans="1:3" s="88" customFormat="1" ht="12" customHeight="1">
      <c r="A45" s="412" t="s">
        <v>175</v>
      </c>
      <c r="B45" s="393" t="s">
        <v>547</v>
      </c>
      <c r="C45" s="276"/>
    </row>
    <row r="46" spans="1:3" s="88" customFormat="1" ht="12" customHeight="1">
      <c r="A46" s="412" t="s">
        <v>268</v>
      </c>
      <c r="B46" s="393" t="s">
        <v>278</v>
      </c>
      <c r="C46" s="279"/>
    </row>
    <row r="47" spans="1:3" s="88" customFormat="1" ht="12" customHeight="1">
      <c r="A47" s="413" t="s">
        <v>269</v>
      </c>
      <c r="B47" s="394" t="s">
        <v>428</v>
      </c>
      <c r="C47" s="380"/>
    </row>
    <row r="48" spans="1:3" s="88" customFormat="1" ht="12" customHeight="1" thickBot="1">
      <c r="A48" s="413" t="s">
        <v>427</v>
      </c>
      <c r="B48" s="394" t="s">
        <v>279</v>
      </c>
      <c r="C48" s="380"/>
    </row>
    <row r="49" spans="1:3" s="88" customFormat="1" ht="12" customHeight="1" thickBot="1">
      <c r="A49" s="32" t="s">
        <v>23</v>
      </c>
      <c r="B49" s="21" t="s">
        <v>280</v>
      </c>
      <c r="C49" s="274">
        <f>SUM(C50:C54)</f>
        <v>0</v>
      </c>
    </row>
    <row r="50" spans="1:3" s="88" customFormat="1" ht="12" customHeight="1">
      <c r="A50" s="411" t="s">
        <v>93</v>
      </c>
      <c r="B50" s="392" t="s">
        <v>284</v>
      </c>
      <c r="C50" s="436"/>
    </row>
    <row r="51" spans="1:3" s="88" customFormat="1" ht="12" customHeight="1">
      <c r="A51" s="412" t="s">
        <v>94</v>
      </c>
      <c r="B51" s="393" t="s">
        <v>285</v>
      </c>
      <c r="C51" s="279"/>
    </row>
    <row r="52" spans="1:3" s="88" customFormat="1" ht="12" customHeight="1">
      <c r="A52" s="412" t="s">
        <v>281</v>
      </c>
      <c r="B52" s="393" t="s">
        <v>286</v>
      </c>
      <c r="C52" s="279"/>
    </row>
    <row r="53" spans="1:3" s="88" customFormat="1" ht="12" customHeight="1">
      <c r="A53" s="412" t="s">
        <v>282</v>
      </c>
      <c r="B53" s="393" t="s">
        <v>287</v>
      </c>
      <c r="C53" s="279"/>
    </row>
    <row r="54" spans="1:3" s="88" customFormat="1" ht="12" customHeight="1" thickBot="1">
      <c r="A54" s="413" t="s">
        <v>283</v>
      </c>
      <c r="B54" s="490" t="s">
        <v>288</v>
      </c>
      <c r="C54" s="380"/>
    </row>
    <row r="55" spans="1:3" s="88" customFormat="1" ht="12" customHeight="1" thickBot="1">
      <c r="A55" s="32" t="s">
        <v>176</v>
      </c>
      <c r="B55" s="21" t="s">
        <v>289</v>
      </c>
      <c r="C55" s="274">
        <f>SUM(C56:C58)</f>
        <v>0</v>
      </c>
    </row>
    <row r="56" spans="1:3" s="88" customFormat="1" ht="12" customHeight="1">
      <c r="A56" s="411" t="s">
        <v>95</v>
      </c>
      <c r="B56" s="392" t="s">
        <v>290</v>
      </c>
      <c r="C56" s="277"/>
    </row>
    <row r="57" spans="1:3" s="88" customFormat="1" ht="12" customHeight="1">
      <c r="A57" s="412" t="s">
        <v>96</v>
      </c>
      <c r="B57" s="393" t="s">
        <v>418</v>
      </c>
      <c r="C57" s="276"/>
    </row>
    <row r="58" spans="1:3" s="88" customFormat="1" ht="12" customHeight="1">
      <c r="A58" s="412" t="s">
        <v>293</v>
      </c>
      <c r="B58" s="393" t="s">
        <v>291</v>
      </c>
      <c r="C58" s="276"/>
    </row>
    <row r="59" spans="1:3" s="88" customFormat="1" ht="12" customHeight="1" thickBot="1">
      <c r="A59" s="413" t="s">
        <v>294</v>
      </c>
      <c r="B59" s="490" t="s">
        <v>292</v>
      </c>
      <c r="C59" s="278"/>
    </row>
    <row r="60" spans="1:3" s="88" customFormat="1" ht="12" customHeight="1" thickBot="1">
      <c r="A60" s="32" t="s">
        <v>25</v>
      </c>
      <c r="B60" s="269" t="s">
        <v>295</v>
      </c>
      <c r="C60" s="274">
        <f>SUM(C61:C63)</f>
        <v>0</v>
      </c>
    </row>
    <row r="61" spans="1:3" s="88" customFormat="1" ht="12" customHeight="1">
      <c r="A61" s="411" t="s">
        <v>177</v>
      </c>
      <c r="B61" s="392" t="s">
        <v>297</v>
      </c>
      <c r="C61" s="279"/>
    </row>
    <row r="62" spans="1:3" s="88" customFormat="1" ht="12" customHeight="1">
      <c r="A62" s="412" t="s">
        <v>178</v>
      </c>
      <c r="B62" s="393" t="s">
        <v>419</v>
      </c>
      <c r="C62" s="279"/>
    </row>
    <row r="63" spans="1:3" s="88" customFormat="1" ht="12" customHeight="1">
      <c r="A63" s="412" t="s">
        <v>226</v>
      </c>
      <c r="B63" s="393" t="s">
        <v>298</v>
      </c>
      <c r="C63" s="279"/>
    </row>
    <row r="64" spans="1:3" s="88" customFormat="1" ht="12" customHeight="1" thickBot="1">
      <c r="A64" s="413" t="s">
        <v>296</v>
      </c>
      <c r="B64" s="490" t="s">
        <v>299</v>
      </c>
      <c r="C64" s="279"/>
    </row>
    <row r="65" spans="1:3" s="88" customFormat="1" ht="12" customHeight="1" thickBot="1">
      <c r="A65" s="32" t="s">
        <v>26</v>
      </c>
      <c r="B65" s="21" t="s">
        <v>300</v>
      </c>
      <c r="C65" s="280">
        <f>+C8+C15+C22+C29+C37+C49+C55+C60</f>
        <v>0</v>
      </c>
    </row>
    <row r="66" spans="1:3" s="88" customFormat="1" ht="12" customHeight="1" thickBot="1">
      <c r="A66" s="414" t="s">
        <v>387</v>
      </c>
      <c r="B66" s="269" t="s">
        <v>302</v>
      </c>
      <c r="C66" s="274">
        <f>SUM(C67:C69)</f>
        <v>0</v>
      </c>
    </row>
    <row r="67" spans="1:3" s="88" customFormat="1" ht="12" customHeight="1">
      <c r="A67" s="411" t="s">
        <v>330</v>
      </c>
      <c r="B67" s="392" t="s">
        <v>303</v>
      </c>
      <c r="C67" s="279"/>
    </row>
    <row r="68" spans="1:3" s="88" customFormat="1" ht="12" customHeight="1">
      <c r="A68" s="412" t="s">
        <v>339</v>
      </c>
      <c r="B68" s="393" t="s">
        <v>304</v>
      </c>
      <c r="C68" s="279"/>
    </row>
    <row r="69" spans="1:3" s="88" customFormat="1" ht="12" customHeight="1" thickBot="1">
      <c r="A69" s="413" t="s">
        <v>340</v>
      </c>
      <c r="B69" s="493" t="s">
        <v>305</v>
      </c>
      <c r="C69" s="279"/>
    </row>
    <row r="70" spans="1:3" s="88" customFormat="1" ht="12" customHeight="1" thickBot="1">
      <c r="A70" s="414" t="s">
        <v>306</v>
      </c>
      <c r="B70" s="269" t="s">
        <v>307</v>
      </c>
      <c r="C70" s="274">
        <f>SUM(C71:C74)</f>
        <v>0</v>
      </c>
    </row>
    <row r="71" spans="1:3" s="88" customFormat="1" ht="12" customHeight="1">
      <c r="A71" s="411" t="s">
        <v>146</v>
      </c>
      <c r="B71" s="392" t="s">
        <v>308</v>
      </c>
      <c r="C71" s="279"/>
    </row>
    <row r="72" spans="1:3" s="88" customFormat="1" ht="12" customHeight="1">
      <c r="A72" s="412" t="s">
        <v>147</v>
      </c>
      <c r="B72" s="393" t="s">
        <v>558</v>
      </c>
      <c r="C72" s="279"/>
    </row>
    <row r="73" spans="1:3" s="88" customFormat="1" ht="12" customHeight="1">
      <c r="A73" s="412" t="s">
        <v>331</v>
      </c>
      <c r="B73" s="393" t="s">
        <v>309</v>
      </c>
      <c r="C73" s="279"/>
    </row>
    <row r="74" spans="1:3" s="88" customFormat="1" ht="12" customHeight="1">
      <c r="A74" s="412" t="s">
        <v>332</v>
      </c>
      <c r="B74" s="270" t="s">
        <v>559</v>
      </c>
      <c r="C74" s="279"/>
    </row>
    <row r="75" spans="1:3" s="88" customFormat="1" ht="12" customHeight="1" thickBot="1">
      <c r="A75" s="418" t="s">
        <v>310</v>
      </c>
      <c r="B75" s="548" t="s">
        <v>311</v>
      </c>
      <c r="C75" s="460">
        <f>SUM(C76:C77)</f>
        <v>0</v>
      </c>
    </row>
    <row r="76" spans="1:3" s="88" customFormat="1" ht="12" customHeight="1">
      <c r="A76" s="411" t="s">
        <v>333</v>
      </c>
      <c r="B76" s="392" t="s">
        <v>312</v>
      </c>
      <c r="C76" s="279"/>
    </row>
    <row r="77" spans="1:3" s="88" customFormat="1" ht="12" customHeight="1" thickBot="1">
      <c r="A77" s="413" t="s">
        <v>334</v>
      </c>
      <c r="B77" s="394" t="s">
        <v>313</v>
      </c>
      <c r="C77" s="279"/>
    </row>
    <row r="78" spans="1:3" s="87" customFormat="1" ht="12" customHeight="1" thickBot="1">
      <c r="A78" s="414" t="s">
        <v>314</v>
      </c>
      <c r="B78" s="269" t="s">
        <v>315</v>
      </c>
      <c r="C78" s="274">
        <f>SUM(C79:C81)</f>
        <v>0</v>
      </c>
    </row>
    <row r="79" spans="1:3" s="88" customFormat="1" ht="12" customHeight="1">
      <c r="A79" s="411" t="s">
        <v>335</v>
      </c>
      <c r="B79" s="392" t="s">
        <v>316</v>
      </c>
      <c r="C79" s="279"/>
    </row>
    <row r="80" spans="1:3" s="88" customFormat="1" ht="12" customHeight="1">
      <c r="A80" s="412" t="s">
        <v>336</v>
      </c>
      <c r="B80" s="393" t="s">
        <v>317</v>
      </c>
      <c r="C80" s="279"/>
    </row>
    <row r="81" spans="1:3" s="88" customFormat="1" ht="12" customHeight="1" thickBot="1">
      <c r="A81" s="413" t="s">
        <v>337</v>
      </c>
      <c r="B81" s="394" t="s">
        <v>560</v>
      </c>
      <c r="C81" s="279"/>
    </row>
    <row r="82" spans="1:3" s="88" customFormat="1" ht="12" customHeight="1" thickBot="1">
      <c r="A82" s="414" t="s">
        <v>318</v>
      </c>
      <c r="B82" s="269" t="s">
        <v>338</v>
      </c>
      <c r="C82" s="274">
        <f>SUM(C83:C86)</f>
        <v>0</v>
      </c>
    </row>
    <row r="83" spans="1:3" s="88" customFormat="1" ht="12" customHeight="1">
      <c r="A83" s="415" t="s">
        <v>319</v>
      </c>
      <c r="B83" s="392" t="s">
        <v>320</v>
      </c>
      <c r="C83" s="279"/>
    </row>
    <row r="84" spans="1:3" s="88" customFormat="1" ht="12" customHeight="1">
      <c r="A84" s="416" t="s">
        <v>321</v>
      </c>
      <c r="B84" s="393" t="s">
        <v>322</v>
      </c>
      <c r="C84" s="279"/>
    </row>
    <row r="85" spans="1:3" s="88" customFormat="1" ht="12" customHeight="1">
      <c r="A85" s="416" t="s">
        <v>323</v>
      </c>
      <c r="B85" s="393" t="s">
        <v>324</v>
      </c>
      <c r="C85" s="279"/>
    </row>
    <row r="86" spans="1:3" s="87" customFormat="1" ht="12" customHeight="1" thickBot="1">
      <c r="A86" s="417" t="s">
        <v>325</v>
      </c>
      <c r="B86" s="394" t="s">
        <v>326</v>
      </c>
      <c r="C86" s="279"/>
    </row>
    <row r="87" spans="1:3" s="87" customFormat="1" ht="12" customHeight="1" thickBot="1">
      <c r="A87" s="414" t="s">
        <v>327</v>
      </c>
      <c r="B87" s="269" t="s">
        <v>467</v>
      </c>
      <c r="C87" s="437"/>
    </row>
    <row r="88" spans="1:3" s="87" customFormat="1" ht="12" customHeight="1" thickBot="1">
      <c r="A88" s="414" t="s">
        <v>499</v>
      </c>
      <c r="B88" s="269" t="s">
        <v>328</v>
      </c>
      <c r="C88" s="437"/>
    </row>
    <row r="89" spans="1:3" s="87" customFormat="1" ht="12" customHeight="1" thickBot="1">
      <c r="A89" s="414" t="s">
        <v>500</v>
      </c>
      <c r="B89" s="399" t="s">
        <v>470</v>
      </c>
      <c r="C89" s="280">
        <f>+C66+C70+C75+C78+C82+C88+C87</f>
        <v>0</v>
      </c>
    </row>
    <row r="90" spans="1:3" s="87" customFormat="1" ht="12" customHeight="1" thickBot="1">
      <c r="A90" s="418" t="s">
        <v>501</v>
      </c>
      <c r="B90" s="400" t="s">
        <v>502</v>
      </c>
      <c r="C90" s="280">
        <f>+C65+C89</f>
        <v>0</v>
      </c>
    </row>
    <row r="91" spans="1:3" s="88" customFormat="1" ht="6.75" customHeight="1" thickBot="1">
      <c r="A91" s="217"/>
      <c r="B91" s="218"/>
      <c r="C91" s="339"/>
    </row>
    <row r="92" spans="1:3" s="68" customFormat="1" ht="16.5" customHeight="1" thickBot="1">
      <c r="A92" s="221"/>
      <c r="B92" s="222" t="s">
        <v>57</v>
      </c>
      <c r="C92" s="341"/>
    </row>
    <row r="93" spans="1:3" s="89" customFormat="1" ht="12" customHeight="1" thickBot="1">
      <c r="A93" s="386" t="s">
        <v>18</v>
      </c>
      <c r="B93" s="28" t="s">
        <v>506</v>
      </c>
      <c r="C93" s="273">
        <f>+C94+C95+C96+C97+C98+C111</f>
        <v>0</v>
      </c>
    </row>
    <row r="94" spans="1:3" ht="12" customHeight="1">
      <c r="A94" s="419" t="s">
        <v>97</v>
      </c>
      <c r="B94" s="10" t="s">
        <v>49</v>
      </c>
      <c r="C94" s="275"/>
    </row>
    <row r="95" spans="1:3" ht="12" customHeight="1">
      <c r="A95" s="412" t="s">
        <v>98</v>
      </c>
      <c r="B95" s="8" t="s">
        <v>179</v>
      </c>
      <c r="C95" s="276"/>
    </row>
    <row r="96" spans="1:3" ht="12" customHeight="1">
      <c r="A96" s="412" t="s">
        <v>99</v>
      </c>
      <c r="B96" s="8" t="s">
        <v>137</v>
      </c>
      <c r="C96" s="278"/>
    </row>
    <row r="97" spans="1:3" ht="12" customHeight="1">
      <c r="A97" s="412" t="s">
        <v>100</v>
      </c>
      <c r="B97" s="11" t="s">
        <v>180</v>
      </c>
      <c r="C97" s="278"/>
    </row>
    <row r="98" spans="1:3" ht="12" customHeight="1">
      <c r="A98" s="412" t="s">
        <v>111</v>
      </c>
      <c r="B98" s="19" t="s">
        <v>181</v>
      </c>
      <c r="C98" s="278"/>
    </row>
    <row r="99" spans="1:3" ht="12" customHeight="1">
      <c r="A99" s="412" t="s">
        <v>101</v>
      </c>
      <c r="B99" s="8" t="s">
        <v>503</v>
      </c>
      <c r="C99" s="278"/>
    </row>
    <row r="100" spans="1:3" ht="12" customHeight="1">
      <c r="A100" s="412" t="s">
        <v>102</v>
      </c>
      <c r="B100" s="136" t="s">
        <v>433</v>
      </c>
      <c r="C100" s="278"/>
    </row>
    <row r="101" spans="1:3" ht="12" customHeight="1">
      <c r="A101" s="412" t="s">
        <v>112</v>
      </c>
      <c r="B101" s="136" t="s">
        <v>432</v>
      </c>
      <c r="C101" s="278"/>
    </row>
    <row r="102" spans="1:3" ht="12" customHeight="1">
      <c r="A102" s="412" t="s">
        <v>113</v>
      </c>
      <c r="B102" s="136" t="s">
        <v>344</v>
      </c>
      <c r="C102" s="278"/>
    </row>
    <row r="103" spans="1:3" ht="12" customHeight="1">
      <c r="A103" s="412" t="s">
        <v>114</v>
      </c>
      <c r="B103" s="137" t="s">
        <v>345</v>
      </c>
      <c r="C103" s="278"/>
    </row>
    <row r="104" spans="1:3" ht="12" customHeight="1">
      <c r="A104" s="412" t="s">
        <v>115</v>
      </c>
      <c r="B104" s="137" t="s">
        <v>346</v>
      </c>
      <c r="C104" s="278"/>
    </row>
    <row r="105" spans="1:3" ht="12" customHeight="1">
      <c r="A105" s="412" t="s">
        <v>117</v>
      </c>
      <c r="B105" s="136" t="s">
        <v>347</v>
      </c>
      <c r="C105" s="278"/>
    </row>
    <row r="106" spans="1:3" ht="12" customHeight="1">
      <c r="A106" s="412" t="s">
        <v>182</v>
      </c>
      <c r="B106" s="136" t="s">
        <v>348</v>
      </c>
      <c r="C106" s="278"/>
    </row>
    <row r="107" spans="1:3" ht="12" customHeight="1">
      <c r="A107" s="412" t="s">
        <v>342</v>
      </c>
      <c r="B107" s="137" t="s">
        <v>349</v>
      </c>
      <c r="C107" s="278"/>
    </row>
    <row r="108" spans="1:3" ht="12" customHeight="1">
      <c r="A108" s="420" t="s">
        <v>343</v>
      </c>
      <c r="B108" s="138" t="s">
        <v>350</v>
      </c>
      <c r="C108" s="278"/>
    </row>
    <row r="109" spans="1:3" ht="12" customHeight="1">
      <c r="A109" s="412" t="s">
        <v>430</v>
      </c>
      <c r="B109" s="138" t="s">
        <v>351</v>
      </c>
      <c r="C109" s="278"/>
    </row>
    <row r="110" spans="1:3" ht="12" customHeight="1">
      <c r="A110" s="412" t="s">
        <v>431</v>
      </c>
      <c r="B110" s="137" t="s">
        <v>352</v>
      </c>
      <c r="C110" s="276"/>
    </row>
    <row r="111" spans="1:3" ht="12" customHeight="1">
      <c r="A111" s="412" t="s">
        <v>435</v>
      </c>
      <c r="B111" s="11" t="s">
        <v>50</v>
      </c>
      <c r="C111" s="276"/>
    </row>
    <row r="112" spans="1:3" ht="12" customHeight="1">
      <c r="A112" s="413" t="s">
        <v>436</v>
      </c>
      <c r="B112" s="8" t="s">
        <v>504</v>
      </c>
      <c r="C112" s="278"/>
    </row>
    <row r="113" spans="1:3" ht="12" customHeight="1" thickBot="1">
      <c r="A113" s="421" t="s">
        <v>437</v>
      </c>
      <c r="B113" s="139" t="s">
        <v>505</v>
      </c>
      <c r="C113" s="282"/>
    </row>
    <row r="114" spans="1:3" ht="12" customHeight="1" thickBot="1">
      <c r="A114" s="32" t="s">
        <v>19</v>
      </c>
      <c r="B114" s="27" t="s">
        <v>353</v>
      </c>
      <c r="C114" s="274">
        <f>+C115+C117+C119</f>
        <v>0</v>
      </c>
    </row>
    <row r="115" spans="1:3" ht="12" customHeight="1">
      <c r="A115" s="411" t="s">
        <v>103</v>
      </c>
      <c r="B115" s="8" t="s">
        <v>225</v>
      </c>
      <c r="C115" s="277"/>
    </row>
    <row r="116" spans="1:3" ht="12" customHeight="1">
      <c r="A116" s="411" t="s">
        <v>104</v>
      </c>
      <c r="B116" s="12" t="s">
        <v>357</v>
      </c>
      <c r="C116" s="277"/>
    </row>
    <row r="117" spans="1:3" ht="12" customHeight="1">
      <c r="A117" s="411" t="s">
        <v>105</v>
      </c>
      <c r="B117" s="12" t="s">
        <v>183</v>
      </c>
      <c r="C117" s="276"/>
    </row>
    <row r="118" spans="1:3" ht="12" customHeight="1">
      <c r="A118" s="411" t="s">
        <v>106</v>
      </c>
      <c r="B118" s="12" t="s">
        <v>358</v>
      </c>
      <c r="C118" s="245"/>
    </row>
    <row r="119" spans="1:3" ht="12" customHeight="1">
      <c r="A119" s="411" t="s">
        <v>107</v>
      </c>
      <c r="B119" s="271" t="s">
        <v>227</v>
      </c>
      <c r="C119" s="245"/>
    </row>
    <row r="120" spans="1:3" ht="12" customHeight="1">
      <c r="A120" s="411" t="s">
        <v>116</v>
      </c>
      <c r="B120" s="270" t="s">
        <v>420</v>
      </c>
      <c r="C120" s="245"/>
    </row>
    <row r="121" spans="1:3" ht="12" customHeight="1">
      <c r="A121" s="411" t="s">
        <v>118</v>
      </c>
      <c r="B121" s="388" t="s">
        <v>363</v>
      </c>
      <c r="C121" s="245"/>
    </row>
    <row r="122" spans="1:3" ht="12" customHeight="1">
      <c r="A122" s="411" t="s">
        <v>184</v>
      </c>
      <c r="B122" s="137" t="s">
        <v>346</v>
      </c>
      <c r="C122" s="245"/>
    </row>
    <row r="123" spans="1:3" ht="12" customHeight="1">
      <c r="A123" s="411" t="s">
        <v>185</v>
      </c>
      <c r="B123" s="137" t="s">
        <v>362</v>
      </c>
      <c r="C123" s="245"/>
    </row>
    <row r="124" spans="1:3" ht="12" customHeight="1">
      <c r="A124" s="411" t="s">
        <v>186</v>
      </c>
      <c r="B124" s="137" t="s">
        <v>361</v>
      </c>
      <c r="C124" s="245"/>
    </row>
    <row r="125" spans="1:3" ht="12" customHeight="1">
      <c r="A125" s="411" t="s">
        <v>354</v>
      </c>
      <c r="B125" s="137" t="s">
        <v>349</v>
      </c>
      <c r="C125" s="245"/>
    </row>
    <row r="126" spans="1:3" ht="12" customHeight="1">
      <c r="A126" s="411" t="s">
        <v>355</v>
      </c>
      <c r="B126" s="137" t="s">
        <v>360</v>
      </c>
      <c r="C126" s="245"/>
    </row>
    <row r="127" spans="1:3" ht="12" customHeight="1" thickBot="1">
      <c r="A127" s="420" t="s">
        <v>356</v>
      </c>
      <c r="B127" s="137" t="s">
        <v>359</v>
      </c>
      <c r="C127" s="247"/>
    </row>
    <row r="128" spans="1:3" ht="12" customHeight="1" thickBot="1">
      <c r="A128" s="32" t="s">
        <v>20</v>
      </c>
      <c r="B128" s="118" t="s">
        <v>440</v>
      </c>
      <c r="C128" s="274">
        <f>+C93+C114</f>
        <v>0</v>
      </c>
    </row>
    <row r="129" spans="1:3" ht="12" customHeight="1" thickBot="1">
      <c r="A129" s="32" t="s">
        <v>21</v>
      </c>
      <c r="B129" s="118" t="s">
        <v>441</v>
      </c>
      <c r="C129" s="274">
        <f>+C130+C131+C132</f>
        <v>0</v>
      </c>
    </row>
    <row r="130" spans="1:3" s="89" customFormat="1" ht="12" customHeight="1">
      <c r="A130" s="411" t="s">
        <v>263</v>
      </c>
      <c r="B130" s="9" t="s">
        <v>509</v>
      </c>
      <c r="C130" s="245"/>
    </row>
    <row r="131" spans="1:3" ht="12" customHeight="1">
      <c r="A131" s="411" t="s">
        <v>264</v>
      </c>
      <c r="B131" s="9" t="s">
        <v>449</v>
      </c>
      <c r="C131" s="245"/>
    </row>
    <row r="132" spans="1:3" ht="12" customHeight="1" thickBot="1">
      <c r="A132" s="420" t="s">
        <v>265</v>
      </c>
      <c r="B132" s="7" t="s">
        <v>508</v>
      </c>
      <c r="C132" s="245"/>
    </row>
    <row r="133" spans="1:3" ht="12" customHeight="1" thickBot="1">
      <c r="A133" s="32" t="s">
        <v>22</v>
      </c>
      <c r="B133" s="118" t="s">
        <v>442</v>
      </c>
      <c r="C133" s="274">
        <f>+C134+C135+C136+C137+C138+C139</f>
        <v>0</v>
      </c>
    </row>
    <row r="134" spans="1:3" ht="12" customHeight="1">
      <c r="A134" s="411" t="s">
        <v>90</v>
      </c>
      <c r="B134" s="9" t="s">
        <v>451</v>
      </c>
      <c r="C134" s="245"/>
    </row>
    <row r="135" spans="1:3" ht="12" customHeight="1">
      <c r="A135" s="411" t="s">
        <v>91</v>
      </c>
      <c r="B135" s="9" t="s">
        <v>443</v>
      </c>
      <c r="C135" s="245"/>
    </row>
    <row r="136" spans="1:3" ht="12" customHeight="1">
      <c r="A136" s="411" t="s">
        <v>92</v>
      </c>
      <c r="B136" s="9" t="s">
        <v>444</v>
      </c>
      <c r="C136" s="245"/>
    </row>
    <row r="137" spans="1:3" ht="12" customHeight="1">
      <c r="A137" s="411" t="s">
        <v>171</v>
      </c>
      <c r="B137" s="9" t="s">
        <v>507</v>
      </c>
      <c r="C137" s="245"/>
    </row>
    <row r="138" spans="1:3" ht="12" customHeight="1">
      <c r="A138" s="411" t="s">
        <v>172</v>
      </c>
      <c r="B138" s="9" t="s">
        <v>446</v>
      </c>
      <c r="C138" s="245"/>
    </row>
    <row r="139" spans="1:3" s="89" customFormat="1" ht="12" customHeight="1" thickBot="1">
      <c r="A139" s="420" t="s">
        <v>173</v>
      </c>
      <c r="B139" s="7" t="s">
        <v>447</v>
      </c>
      <c r="C139" s="245"/>
    </row>
    <row r="140" spans="1:11" ht="12" customHeight="1" thickBot="1">
      <c r="A140" s="32" t="s">
        <v>23</v>
      </c>
      <c r="B140" s="118" t="s">
        <v>530</v>
      </c>
      <c r="C140" s="280">
        <f>+C141+C142+C144+C145+C143</f>
        <v>0</v>
      </c>
      <c r="K140" s="228"/>
    </row>
    <row r="141" spans="1:3" ht="12.75">
      <c r="A141" s="411" t="s">
        <v>93</v>
      </c>
      <c r="B141" s="9" t="s">
        <v>364</v>
      </c>
      <c r="C141" s="245"/>
    </row>
    <row r="142" spans="1:3" ht="12" customHeight="1">
      <c r="A142" s="411" t="s">
        <v>94</v>
      </c>
      <c r="B142" s="9" t="s">
        <v>365</v>
      </c>
      <c r="C142" s="245"/>
    </row>
    <row r="143" spans="1:3" s="89" customFormat="1" ht="12" customHeight="1">
      <c r="A143" s="411" t="s">
        <v>281</v>
      </c>
      <c r="B143" s="9" t="s">
        <v>529</v>
      </c>
      <c r="C143" s="245"/>
    </row>
    <row r="144" spans="1:3" s="89" customFormat="1" ht="12" customHeight="1">
      <c r="A144" s="411" t="s">
        <v>282</v>
      </c>
      <c r="B144" s="9" t="s">
        <v>456</v>
      </c>
      <c r="C144" s="245"/>
    </row>
    <row r="145" spans="1:3" s="89" customFormat="1" ht="12" customHeight="1" thickBot="1">
      <c r="A145" s="420" t="s">
        <v>283</v>
      </c>
      <c r="B145" s="7" t="s">
        <v>383</v>
      </c>
      <c r="C145" s="245"/>
    </row>
    <row r="146" spans="1:3" s="89" customFormat="1" ht="12" customHeight="1" thickBot="1">
      <c r="A146" s="32" t="s">
        <v>24</v>
      </c>
      <c r="B146" s="118" t="s">
        <v>457</v>
      </c>
      <c r="C146" s="283">
        <f>+C147+C148+C149+C150+C151</f>
        <v>0</v>
      </c>
    </row>
    <row r="147" spans="1:3" s="89" customFormat="1" ht="12" customHeight="1">
      <c r="A147" s="411" t="s">
        <v>95</v>
      </c>
      <c r="B147" s="9" t="s">
        <v>452</v>
      </c>
      <c r="C147" s="245"/>
    </row>
    <row r="148" spans="1:3" s="89" customFormat="1" ht="12" customHeight="1">
      <c r="A148" s="411" t="s">
        <v>96</v>
      </c>
      <c r="B148" s="9" t="s">
        <v>459</v>
      </c>
      <c r="C148" s="245"/>
    </row>
    <row r="149" spans="1:3" s="89" customFormat="1" ht="12" customHeight="1">
      <c r="A149" s="411" t="s">
        <v>293</v>
      </c>
      <c r="B149" s="9" t="s">
        <v>454</v>
      </c>
      <c r="C149" s="245"/>
    </row>
    <row r="150" spans="1:3" ht="12.75" customHeight="1">
      <c r="A150" s="411" t="s">
        <v>294</v>
      </c>
      <c r="B150" s="9" t="s">
        <v>510</v>
      </c>
      <c r="C150" s="245"/>
    </row>
    <row r="151" spans="1:3" ht="12.75" customHeight="1" thickBot="1">
      <c r="A151" s="420" t="s">
        <v>458</v>
      </c>
      <c r="B151" s="7" t="s">
        <v>461</v>
      </c>
      <c r="C151" s="247"/>
    </row>
    <row r="152" spans="1:3" ht="12.75" customHeight="1" thickBot="1">
      <c r="A152" s="465" t="s">
        <v>25</v>
      </c>
      <c r="B152" s="118" t="s">
        <v>462</v>
      </c>
      <c r="C152" s="283"/>
    </row>
    <row r="153" spans="1:3" ht="12" customHeight="1" thickBot="1">
      <c r="A153" s="465" t="s">
        <v>26</v>
      </c>
      <c r="B153" s="118" t="s">
        <v>463</v>
      </c>
      <c r="C153" s="283"/>
    </row>
    <row r="154" spans="1:3" ht="15" customHeight="1" thickBot="1">
      <c r="A154" s="32" t="s">
        <v>27</v>
      </c>
      <c r="B154" s="118" t="s">
        <v>465</v>
      </c>
      <c r="C154" s="402">
        <f>+C129+C133+C140+C146+C152+C153</f>
        <v>0</v>
      </c>
    </row>
    <row r="155" spans="1:3" ht="13.5" thickBot="1">
      <c r="A155" s="422" t="s">
        <v>28</v>
      </c>
      <c r="B155" s="357" t="s">
        <v>464</v>
      </c>
      <c r="C155" s="402">
        <f>+C128+C154</f>
        <v>0</v>
      </c>
    </row>
    <row r="156" spans="1:3" ht="9" customHeight="1" thickBot="1">
      <c r="A156" s="365"/>
      <c r="B156" s="366"/>
      <c r="C156" s="588">
        <f>C90-C155</f>
        <v>0</v>
      </c>
    </row>
    <row r="157" spans="1:3" ht="14.25" customHeight="1" thickBot="1">
      <c r="A157" s="226" t="s">
        <v>511</v>
      </c>
      <c r="B157" s="227"/>
      <c r="C157" s="115"/>
    </row>
    <row r="158" spans="1:3" ht="13.5" thickBot="1">
      <c r="A158" s="226" t="s">
        <v>201</v>
      </c>
      <c r="B158" s="227"/>
      <c r="C158" s="115"/>
    </row>
    <row r="159" spans="1:3" ht="12.75">
      <c r="A159" s="585"/>
      <c r="B159" s="586"/>
      <c r="C159" s="587"/>
    </row>
    <row r="160" spans="1:2" ht="12.75">
      <c r="A160" s="585"/>
      <c r="B160" s="586"/>
    </row>
    <row r="161" spans="1:3" ht="12.75">
      <c r="A161" s="585"/>
      <c r="B161" s="586"/>
      <c r="C161" s="587"/>
    </row>
    <row r="162" spans="1:3" ht="12.75">
      <c r="A162" s="585"/>
      <c r="B162" s="586"/>
      <c r="C162" s="587"/>
    </row>
    <row r="163" spans="1:3" ht="12.75">
      <c r="A163" s="585"/>
      <c r="B163" s="586"/>
      <c r="C163" s="587"/>
    </row>
    <row r="164" spans="1:3" ht="12.75">
      <c r="A164" s="585"/>
      <c r="B164" s="586"/>
      <c r="C164" s="587"/>
    </row>
    <row r="165" spans="1:3" ht="12.75">
      <c r="A165" s="585"/>
      <c r="B165" s="586"/>
      <c r="C165" s="587"/>
    </row>
    <row r="166" spans="1:3" ht="12.75">
      <c r="A166" s="585"/>
      <c r="B166" s="586"/>
      <c r="C166" s="587"/>
    </row>
    <row r="167" spans="1:3" ht="12.75">
      <c r="A167" s="585"/>
      <c r="B167" s="586"/>
      <c r="C167" s="587"/>
    </row>
    <row r="168" spans="1:3" ht="12.75">
      <c r="A168" s="585"/>
      <c r="B168" s="586"/>
      <c r="C168" s="587"/>
    </row>
    <row r="169" spans="1:3" ht="12.75">
      <c r="A169" s="585"/>
      <c r="B169" s="586"/>
      <c r="C169" s="587"/>
    </row>
    <row r="170" spans="1:3" ht="12.75">
      <c r="A170" s="585"/>
      <c r="B170" s="586"/>
      <c r="C170" s="587"/>
    </row>
    <row r="171" spans="1:3" ht="12.75">
      <c r="A171" s="585"/>
      <c r="B171" s="586"/>
      <c r="C171" s="587"/>
    </row>
    <row r="172" spans="1:3" ht="12.75">
      <c r="A172" s="585"/>
      <c r="B172" s="586"/>
      <c r="C172" s="587"/>
    </row>
    <row r="173" spans="1:3" ht="12.75">
      <c r="A173" s="585"/>
      <c r="B173" s="586"/>
      <c r="C173" s="587"/>
    </row>
    <row r="174" spans="1:3" ht="12.75">
      <c r="A174" s="585"/>
      <c r="B174" s="586"/>
      <c r="C174" s="587"/>
    </row>
    <row r="175" spans="1:3" ht="12.75">
      <c r="A175" s="585"/>
      <c r="B175" s="586"/>
      <c r="C175" s="587"/>
    </row>
    <row r="176" spans="1:3" ht="12.75">
      <c r="A176" s="585"/>
      <c r="B176" s="586"/>
      <c r="C176" s="58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C41" sqref="C41"/>
    </sheetView>
  </sheetViews>
  <sheetFormatPr defaultColWidth="9.00390625" defaultRowHeight="12.75"/>
  <cols>
    <col min="1" max="1" width="13.875" style="224" customWidth="1"/>
    <col min="2" max="2" width="79.125" style="225" customWidth="1"/>
    <col min="3" max="3" width="25.00390625" style="225" customWidth="1"/>
    <col min="4" max="16384" width="9.375" style="225" customWidth="1"/>
  </cols>
  <sheetData>
    <row r="1" spans="1:3" s="205" customFormat="1" ht="21" customHeight="1" thickBot="1">
      <c r="A1" s="204"/>
      <c r="B1" s="206"/>
      <c r="C1" s="563" t="str">
        <f>CONCATENATE(ALAPADATOK!P13," melléklet ",ALAPADATOK!A7," ",ALAPADATOK!B7," ",ALAPADATOK!C7," ",ALAPADATOK!D7," ",ALAPADATOK!E7," ",ALAPADATOK!F7," ",ALAPADATOK!G7," ",ALAPADATOK!H7)</f>
        <v>9.2. melléklet a 2 / 2020 ( II. 21. ) önkormányzati rendelethez</v>
      </c>
    </row>
    <row r="2" spans="1:3" s="431" customFormat="1" ht="36">
      <c r="A2" s="384" t="s">
        <v>199</v>
      </c>
      <c r="B2" s="612" t="str">
        <f>CONCATENATE(ALAPADATOK!B13)</f>
        <v>BERTHA BULCSU MŰVELŐDÉSI HÁZ ÉS KÖNYVTÁR</v>
      </c>
      <c r="C2" s="343" t="s">
        <v>60</v>
      </c>
    </row>
    <row r="3" spans="1:3" s="431" customFormat="1" ht="24.75" thickBot="1">
      <c r="A3" s="425" t="s">
        <v>198</v>
      </c>
      <c r="B3" s="562" t="s">
        <v>391</v>
      </c>
      <c r="C3" s="344" t="s">
        <v>54</v>
      </c>
    </row>
    <row r="4" spans="1:3" s="432" customFormat="1" ht="15.75" customHeight="1" thickBot="1">
      <c r="A4" s="207"/>
      <c r="B4" s="207"/>
      <c r="C4" s="208" t="str">
        <f>'KV_9.1.3.sz.mell'!C4</f>
        <v>Forintban!</v>
      </c>
    </row>
    <row r="5" spans="1:3" ht="13.5" thickBot="1">
      <c r="A5" s="385" t="s">
        <v>200</v>
      </c>
      <c r="B5" s="209" t="s">
        <v>551</v>
      </c>
      <c r="C5" s="210" t="s">
        <v>55</v>
      </c>
    </row>
    <row r="6" spans="1:3" s="433" customFormat="1" ht="12.75" customHeight="1" thickBot="1">
      <c r="A6" s="186"/>
      <c r="B6" s="187" t="s">
        <v>485</v>
      </c>
      <c r="C6" s="188" t="s">
        <v>486</v>
      </c>
    </row>
    <row r="7" spans="1:3" s="433" customFormat="1" ht="15.75" customHeight="1" thickBot="1">
      <c r="A7" s="211"/>
      <c r="B7" s="212" t="s">
        <v>56</v>
      </c>
      <c r="C7" s="213"/>
    </row>
    <row r="8" spans="1:3" s="345" customFormat="1" ht="12" customHeight="1" thickBot="1">
      <c r="A8" s="186" t="s">
        <v>18</v>
      </c>
      <c r="B8" s="214" t="s">
        <v>512</v>
      </c>
      <c r="C8" s="294">
        <f>SUM(C9:C19)</f>
        <v>4200000</v>
      </c>
    </row>
    <row r="9" spans="1:3" s="345" customFormat="1" ht="12" customHeight="1">
      <c r="A9" s="426" t="s">
        <v>97</v>
      </c>
      <c r="B9" s="10" t="s">
        <v>270</v>
      </c>
      <c r="C9" s="335"/>
    </row>
    <row r="10" spans="1:3" s="345" customFormat="1" ht="12" customHeight="1">
      <c r="A10" s="427" t="s">
        <v>98</v>
      </c>
      <c r="B10" s="8" t="s">
        <v>271</v>
      </c>
      <c r="C10" s="292">
        <v>4200000</v>
      </c>
    </row>
    <row r="11" spans="1:3" s="345" customFormat="1" ht="12" customHeight="1">
      <c r="A11" s="427" t="s">
        <v>99</v>
      </c>
      <c r="B11" s="8" t="s">
        <v>272</v>
      </c>
      <c r="C11" s="292"/>
    </row>
    <row r="12" spans="1:3" s="345" customFormat="1" ht="12" customHeight="1">
      <c r="A12" s="427" t="s">
        <v>100</v>
      </c>
      <c r="B12" s="8" t="s">
        <v>273</v>
      </c>
      <c r="C12" s="292"/>
    </row>
    <row r="13" spans="1:3" s="345" customFormat="1" ht="12" customHeight="1">
      <c r="A13" s="427" t="s">
        <v>145</v>
      </c>
      <c r="B13" s="8" t="s">
        <v>274</v>
      </c>
      <c r="C13" s="292"/>
    </row>
    <row r="14" spans="1:3" s="345" customFormat="1" ht="12" customHeight="1">
      <c r="A14" s="427" t="s">
        <v>101</v>
      </c>
      <c r="B14" s="8" t="s">
        <v>392</v>
      </c>
      <c r="C14" s="292"/>
    </row>
    <row r="15" spans="1:3" s="345" customFormat="1" ht="12" customHeight="1">
      <c r="A15" s="427" t="s">
        <v>102</v>
      </c>
      <c r="B15" s="7" t="s">
        <v>393</v>
      </c>
      <c r="C15" s="292"/>
    </row>
    <row r="16" spans="1:3" s="345" customFormat="1" ht="12" customHeight="1">
      <c r="A16" s="427" t="s">
        <v>112</v>
      </c>
      <c r="B16" s="8" t="s">
        <v>277</v>
      </c>
      <c r="C16" s="336"/>
    </row>
    <row r="17" spans="1:3" s="434" customFormat="1" ht="12" customHeight="1">
      <c r="A17" s="427" t="s">
        <v>113</v>
      </c>
      <c r="B17" s="8" t="s">
        <v>278</v>
      </c>
      <c r="C17" s="292"/>
    </row>
    <row r="18" spans="1:3" s="434" customFormat="1" ht="12" customHeight="1">
      <c r="A18" s="427" t="s">
        <v>114</v>
      </c>
      <c r="B18" s="8" t="s">
        <v>428</v>
      </c>
      <c r="C18" s="293"/>
    </row>
    <row r="19" spans="1:3" s="434" customFormat="1" ht="12" customHeight="1" thickBot="1">
      <c r="A19" s="427" t="s">
        <v>115</v>
      </c>
      <c r="B19" s="7" t="s">
        <v>279</v>
      </c>
      <c r="C19" s="293"/>
    </row>
    <row r="20" spans="1:3" s="345" customFormat="1" ht="12" customHeight="1" thickBot="1">
      <c r="A20" s="186" t="s">
        <v>19</v>
      </c>
      <c r="B20" s="214" t="s">
        <v>394</v>
      </c>
      <c r="C20" s="294">
        <f>SUM(C21:C23)</f>
        <v>0</v>
      </c>
    </row>
    <row r="21" spans="1:3" s="434" customFormat="1" ht="12" customHeight="1">
      <c r="A21" s="427" t="s">
        <v>103</v>
      </c>
      <c r="B21" s="9" t="s">
        <v>253</v>
      </c>
      <c r="C21" s="292"/>
    </row>
    <row r="22" spans="1:3" s="434" customFormat="1" ht="12" customHeight="1">
      <c r="A22" s="427" t="s">
        <v>104</v>
      </c>
      <c r="B22" s="8" t="s">
        <v>395</v>
      </c>
      <c r="C22" s="292"/>
    </row>
    <row r="23" spans="1:3" s="434" customFormat="1" ht="12" customHeight="1">
      <c r="A23" s="427" t="s">
        <v>105</v>
      </c>
      <c r="B23" s="8" t="s">
        <v>396</v>
      </c>
      <c r="C23" s="292"/>
    </row>
    <row r="24" spans="1:3" s="434" customFormat="1" ht="12" customHeight="1" thickBot="1">
      <c r="A24" s="427" t="s">
        <v>106</v>
      </c>
      <c r="B24" s="8" t="s">
        <v>514</v>
      </c>
      <c r="C24" s="292"/>
    </row>
    <row r="25" spans="1:3" s="434" customFormat="1" ht="12" customHeight="1" thickBot="1">
      <c r="A25" s="194" t="s">
        <v>20</v>
      </c>
      <c r="B25" s="118" t="s">
        <v>170</v>
      </c>
      <c r="C25" s="320"/>
    </row>
    <row r="26" spans="1:3" s="434" customFormat="1" ht="12" customHeight="1" thickBot="1">
      <c r="A26" s="194" t="s">
        <v>21</v>
      </c>
      <c r="B26" s="118" t="s">
        <v>397</v>
      </c>
      <c r="C26" s="294">
        <f>+C27+C28</f>
        <v>0</v>
      </c>
    </row>
    <row r="27" spans="1:3" s="434" customFormat="1" ht="12" customHeight="1">
      <c r="A27" s="428" t="s">
        <v>263</v>
      </c>
      <c r="B27" s="429" t="s">
        <v>395</v>
      </c>
      <c r="C27" s="74"/>
    </row>
    <row r="28" spans="1:3" s="434" customFormat="1" ht="12" customHeight="1">
      <c r="A28" s="428" t="s">
        <v>264</v>
      </c>
      <c r="B28" s="430" t="s">
        <v>398</v>
      </c>
      <c r="C28" s="295"/>
    </row>
    <row r="29" spans="1:3" s="434" customFormat="1" ht="12" customHeight="1" thickBot="1">
      <c r="A29" s="427" t="s">
        <v>265</v>
      </c>
      <c r="B29" s="135" t="s">
        <v>515</v>
      </c>
      <c r="C29" s="81"/>
    </row>
    <row r="30" spans="1:3" s="434" customFormat="1" ht="12" customHeight="1" thickBot="1">
      <c r="A30" s="194" t="s">
        <v>22</v>
      </c>
      <c r="B30" s="118" t="s">
        <v>399</v>
      </c>
      <c r="C30" s="294">
        <f>+C31+C32+C33</f>
        <v>0</v>
      </c>
    </row>
    <row r="31" spans="1:3" s="434" customFormat="1" ht="12" customHeight="1">
      <c r="A31" s="428" t="s">
        <v>90</v>
      </c>
      <c r="B31" s="429" t="s">
        <v>284</v>
      </c>
      <c r="C31" s="74"/>
    </row>
    <row r="32" spans="1:3" s="434" customFormat="1" ht="12" customHeight="1">
      <c r="A32" s="428" t="s">
        <v>91</v>
      </c>
      <c r="B32" s="430" t="s">
        <v>285</v>
      </c>
      <c r="C32" s="295"/>
    </row>
    <row r="33" spans="1:3" s="434" customFormat="1" ht="12" customHeight="1" thickBot="1">
      <c r="A33" s="427" t="s">
        <v>92</v>
      </c>
      <c r="B33" s="135" t="s">
        <v>286</v>
      </c>
      <c r="C33" s="81"/>
    </row>
    <row r="34" spans="1:3" s="345" customFormat="1" ht="12" customHeight="1" thickBot="1">
      <c r="A34" s="194" t="s">
        <v>23</v>
      </c>
      <c r="B34" s="118" t="s">
        <v>369</v>
      </c>
      <c r="C34" s="320"/>
    </row>
    <row r="35" spans="1:3" s="345" customFormat="1" ht="12" customHeight="1" thickBot="1">
      <c r="A35" s="194" t="s">
        <v>24</v>
      </c>
      <c r="B35" s="118" t="s">
        <v>400</v>
      </c>
      <c r="C35" s="337"/>
    </row>
    <row r="36" spans="1:3" s="345" customFormat="1" ht="12" customHeight="1" thickBot="1">
      <c r="A36" s="186" t="s">
        <v>25</v>
      </c>
      <c r="B36" s="118" t="s">
        <v>516</v>
      </c>
      <c r="C36" s="338">
        <f>+C8+C20+C25+C26+C30+C34+C35</f>
        <v>4200000</v>
      </c>
    </row>
    <row r="37" spans="1:3" s="345" customFormat="1" ht="12" customHeight="1" thickBot="1">
      <c r="A37" s="215" t="s">
        <v>26</v>
      </c>
      <c r="B37" s="118" t="s">
        <v>401</v>
      </c>
      <c r="C37" s="338">
        <f>+C38+C39+C40</f>
        <v>31177000</v>
      </c>
    </row>
    <row r="38" spans="1:3" s="345" customFormat="1" ht="12" customHeight="1">
      <c r="A38" s="428" t="s">
        <v>402</v>
      </c>
      <c r="B38" s="429" t="s">
        <v>231</v>
      </c>
      <c r="C38" s="74">
        <v>183402</v>
      </c>
    </row>
    <row r="39" spans="1:3" s="345" customFormat="1" ht="12" customHeight="1">
      <c r="A39" s="428" t="s">
        <v>403</v>
      </c>
      <c r="B39" s="430" t="s">
        <v>2</v>
      </c>
      <c r="C39" s="295"/>
    </row>
    <row r="40" spans="1:3" s="434" customFormat="1" ht="12" customHeight="1" thickBot="1">
      <c r="A40" s="427" t="s">
        <v>404</v>
      </c>
      <c r="B40" s="135" t="s">
        <v>405</v>
      </c>
      <c r="C40" s="81">
        <v>30993598</v>
      </c>
    </row>
    <row r="41" spans="1:3" s="434" customFormat="1" ht="15" customHeight="1" thickBot="1">
      <c r="A41" s="215" t="s">
        <v>27</v>
      </c>
      <c r="B41" s="216" t="s">
        <v>406</v>
      </c>
      <c r="C41" s="341">
        <f>+C36+C37</f>
        <v>35377000</v>
      </c>
    </row>
    <row r="42" spans="1:3" s="434" customFormat="1" ht="15" customHeight="1">
      <c r="A42" s="217"/>
      <c r="B42" s="218"/>
      <c r="C42" s="339"/>
    </row>
    <row r="43" spans="1:3" ht="13.5" thickBot="1">
      <c r="A43" s="219"/>
      <c r="B43" s="220"/>
      <c r="C43" s="340"/>
    </row>
    <row r="44" spans="1:3" s="433" customFormat="1" ht="16.5" customHeight="1" thickBot="1">
      <c r="A44" s="221"/>
      <c r="B44" s="222" t="s">
        <v>57</v>
      </c>
      <c r="C44" s="341"/>
    </row>
    <row r="45" spans="1:3" s="435" customFormat="1" ht="12" customHeight="1" thickBot="1">
      <c r="A45" s="194" t="s">
        <v>18</v>
      </c>
      <c r="B45" s="118" t="s">
        <v>407</v>
      </c>
      <c r="C45" s="294">
        <f>SUM(C46:C50)</f>
        <v>33535500</v>
      </c>
    </row>
    <row r="46" spans="1:3" ht="12" customHeight="1">
      <c r="A46" s="427" t="s">
        <v>97</v>
      </c>
      <c r="B46" s="9" t="s">
        <v>49</v>
      </c>
      <c r="C46" s="74">
        <v>11612900</v>
      </c>
    </row>
    <row r="47" spans="1:3" ht="12" customHeight="1">
      <c r="A47" s="427" t="s">
        <v>98</v>
      </c>
      <c r="B47" s="8" t="s">
        <v>179</v>
      </c>
      <c r="C47" s="77">
        <v>2142600</v>
      </c>
    </row>
    <row r="48" spans="1:3" ht="12" customHeight="1">
      <c r="A48" s="427" t="s">
        <v>99</v>
      </c>
      <c r="B48" s="8" t="s">
        <v>137</v>
      </c>
      <c r="C48" s="77">
        <v>19780000</v>
      </c>
    </row>
    <row r="49" spans="1:3" ht="12" customHeight="1">
      <c r="A49" s="427" t="s">
        <v>100</v>
      </c>
      <c r="B49" s="8" t="s">
        <v>180</v>
      </c>
      <c r="C49" s="77"/>
    </row>
    <row r="50" spans="1:3" ht="12" customHeight="1" thickBot="1">
      <c r="A50" s="427" t="s">
        <v>145</v>
      </c>
      <c r="B50" s="8" t="s">
        <v>181</v>
      </c>
      <c r="C50" s="77"/>
    </row>
    <row r="51" spans="1:3" ht="12" customHeight="1" thickBot="1">
      <c r="A51" s="194" t="s">
        <v>19</v>
      </c>
      <c r="B51" s="118" t="s">
        <v>408</v>
      </c>
      <c r="C51" s="294">
        <f>SUM(C52:C54)</f>
        <v>1841500</v>
      </c>
    </row>
    <row r="52" spans="1:3" s="435" customFormat="1" ht="12" customHeight="1">
      <c r="A52" s="427" t="s">
        <v>103</v>
      </c>
      <c r="B52" s="9" t="s">
        <v>225</v>
      </c>
      <c r="C52" s="74">
        <v>1841500</v>
      </c>
    </row>
    <row r="53" spans="1:3" ht="12" customHeight="1">
      <c r="A53" s="427" t="s">
        <v>104</v>
      </c>
      <c r="B53" s="8" t="s">
        <v>183</v>
      </c>
      <c r="C53" s="77"/>
    </row>
    <row r="54" spans="1:3" ht="12" customHeight="1">
      <c r="A54" s="427" t="s">
        <v>105</v>
      </c>
      <c r="B54" s="8" t="s">
        <v>58</v>
      </c>
      <c r="C54" s="77"/>
    </row>
    <row r="55" spans="1:3" ht="12" customHeight="1" thickBot="1">
      <c r="A55" s="427" t="s">
        <v>106</v>
      </c>
      <c r="B55" s="8" t="s">
        <v>513</v>
      </c>
      <c r="C55" s="77"/>
    </row>
    <row r="56" spans="1:3" ht="15" customHeight="1" thickBot="1">
      <c r="A56" s="194" t="s">
        <v>20</v>
      </c>
      <c r="B56" s="118" t="s">
        <v>13</v>
      </c>
      <c r="C56" s="320"/>
    </row>
    <row r="57" spans="1:3" ht="13.5" thickBot="1">
      <c r="A57" s="194" t="s">
        <v>21</v>
      </c>
      <c r="B57" s="223" t="s">
        <v>518</v>
      </c>
      <c r="C57" s="342">
        <f>+C45+C51+C56</f>
        <v>35377000</v>
      </c>
    </row>
    <row r="58" ht="15" customHeight="1" thickBot="1">
      <c r="C58" s="593">
        <f>C41-C57</f>
        <v>0</v>
      </c>
    </row>
    <row r="59" spans="1:3" ht="14.25" customHeight="1" thickBot="1">
      <c r="A59" s="226" t="s">
        <v>511</v>
      </c>
      <c r="B59" s="227"/>
      <c r="C59" s="115">
        <v>2</v>
      </c>
    </row>
    <row r="60" spans="1:3" ht="13.5" thickBot="1">
      <c r="A60" s="226" t="s">
        <v>201</v>
      </c>
      <c r="B60" s="227"/>
      <c r="C60" s="11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C48" sqref="C48"/>
    </sheetView>
  </sheetViews>
  <sheetFormatPr defaultColWidth="9.00390625" defaultRowHeight="12.75"/>
  <cols>
    <col min="1" max="1" width="13.875" style="224" customWidth="1"/>
    <col min="2" max="2" width="79.125" style="225" customWidth="1"/>
    <col min="3" max="3" width="25.00390625" style="225" customWidth="1"/>
    <col min="4" max="16384" width="9.375" style="225" customWidth="1"/>
  </cols>
  <sheetData>
    <row r="1" spans="1:3" s="205" customFormat="1" ht="21" customHeight="1" thickBot="1">
      <c r="A1" s="204"/>
      <c r="B1" s="206"/>
      <c r="C1" s="563" t="str">
        <f>CONCATENATE(ALAPADATOK!P13,"1. melléklet ",ALAPADATOK!A7," ",ALAPADATOK!B7," ",ALAPADATOK!C7," ",ALAPADATOK!D7," ",ALAPADATOK!E7," ",ALAPADATOK!F7," ",ALAPADATOK!G7," ",ALAPADATOK!H7)</f>
        <v>9.2.1. melléklet a 2 / 2020 ( II. 21. ) önkormányzati rendelethez</v>
      </c>
    </row>
    <row r="2" spans="1:3" s="431" customFormat="1" ht="36">
      <c r="A2" s="384" t="s">
        <v>199</v>
      </c>
      <c r="B2" s="561" t="str">
        <f>CONCATENATE('KV_9.3.sz.mell'!B2)</f>
        <v>BERTHA BULCSU MŰVELŐDÉSI HÁZ ÉS KÖNYVTÁR</v>
      </c>
      <c r="C2" s="343" t="s">
        <v>60</v>
      </c>
    </row>
    <row r="3" spans="1:3" s="431" customFormat="1" ht="24.75" thickBot="1">
      <c r="A3" s="425" t="s">
        <v>198</v>
      </c>
      <c r="B3" s="562" t="s">
        <v>409</v>
      </c>
      <c r="C3" s="344" t="s">
        <v>59</v>
      </c>
    </row>
    <row r="4" spans="1:3" s="432" customFormat="1" ht="15.75" customHeight="1" thickBot="1">
      <c r="A4" s="207"/>
      <c r="B4" s="207"/>
      <c r="C4" s="208" t="str">
        <f>'KV_9.3.sz.mell'!C4</f>
        <v>Forintban!</v>
      </c>
    </row>
    <row r="5" spans="1:3" ht="13.5" thickBot="1">
      <c r="A5" s="385" t="s">
        <v>200</v>
      </c>
      <c r="B5" s="209" t="s">
        <v>551</v>
      </c>
      <c r="C5" s="210" t="s">
        <v>55</v>
      </c>
    </row>
    <row r="6" spans="1:3" s="433" customFormat="1" ht="12.75" customHeight="1" thickBot="1">
      <c r="A6" s="186"/>
      <c r="B6" s="187" t="s">
        <v>485</v>
      </c>
      <c r="C6" s="188" t="s">
        <v>486</v>
      </c>
    </row>
    <row r="7" spans="1:3" s="433" customFormat="1" ht="15.75" customHeight="1" thickBot="1">
      <c r="A7" s="211"/>
      <c r="B7" s="212" t="s">
        <v>56</v>
      </c>
      <c r="C7" s="213"/>
    </row>
    <row r="8" spans="1:3" s="345" customFormat="1" ht="12" customHeight="1" thickBot="1">
      <c r="A8" s="186" t="s">
        <v>18</v>
      </c>
      <c r="B8" s="214" t="s">
        <v>512</v>
      </c>
      <c r="C8" s="294">
        <f>SUM(C9:C19)</f>
        <v>4200000</v>
      </c>
    </row>
    <row r="9" spans="1:3" s="345" customFormat="1" ht="12" customHeight="1">
      <c r="A9" s="426" t="s">
        <v>97</v>
      </c>
      <c r="B9" s="10" t="s">
        <v>270</v>
      </c>
      <c r="C9" s="335"/>
    </row>
    <row r="10" spans="1:3" s="345" customFormat="1" ht="12" customHeight="1">
      <c r="A10" s="427" t="s">
        <v>98</v>
      </c>
      <c r="B10" s="8" t="s">
        <v>271</v>
      </c>
      <c r="C10" s="292">
        <v>4200000</v>
      </c>
    </row>
    <row r="11" spans="1:3" s="345" customFormat="1" ht="12" customHeight="1">
      <c r="A11" s="427" t="s">
        <v>99</v>
      </c>
      <c r="B11" s="8" t="s">
        <v>272</v>
      </c>
      <c r="C11" s="292"/>
    </row>
    <row r="12" spans="1:3" s="345" customFormat="1" ht="12" customHeight="1">
      <c r="A12" s="427" t="s">
        <v>100</v>
      </c>
      <c r="B12" s="8" t="s">
        <v>273</v>
      </c>
      <c r="C12" s="292"/>
    </row>
    <row r="13" spans="1:3" s="345" customFormat="1" ht="12" customHeight="1">
      <c r="A13" s="427" t="s">
        <v>145</v>
      </c>
      <c r="B13" s="8" t="s">
        <v>274</v>
      </c>
      <c r="C13" s="292"/>
    </row>
    <row r="14" spans="1:3" s="345" customFormat="1" ht="12" customHeight="1">
      <c r="A14" s="427" t="s">
        <v>101</v>
      </c>
      <c r="B14" s="8" t="s">
        <v>392</v>
      </c>
      <c r="C14" s="292"/>
    </row>
    <row r="15" spans="1:3" s="345" customFormat="1" ht="12" customHeight="1">
      <c r="A15" s="427" t="s">
        <v>102</v>
      </c>
      <c r="B15" s="7" t="s">
        <v>393</v>
      </c>
      <c r="C15" s="292"/>
    </row>
    <row r="16" spans="1:3" s="345" customFormat="1" ht="12" customHeight="1">
      <c r="A16" s="427" t="s">
        <v>112</v>
      </c>
      <c r="B16" s="8" t="s">
        <v>277</v>
      </c>
      <c r="C16" s="336"/>
    </row>
    <row r="17" spans="1:3" s="434" customFormat="1" ht="12" customHeight="1">
      <c r="A17" s="427" t="s">
        <v>113</v>
      </c>
      <c r="B17" s="8" t="s">
        <v>278</v>
      </c>
      <c r="C17" s="292"/>
    </row>
    <row r="18" spans="1:3" s="434" customFormat="1" ht="12" customHeight="1">
      <c r="A18" s="427" t="s">
        <v>114</v>
      </c>
      <c r="B18" s="8" t="s">
        <v>428</v>
      </c>
      <c r="C18" s="293"/>
    </row>
    <row r="19" spans="1:3" s="434" customFormat="1" ht="12" customHeight="1" thickBot="1">
      <c r="A19" s="427" t="s">
        <v>115</v>
      </c>
      <c r="B19" s="7" t="s">
        <v>279</v>
      </c>
      <c r="C19" s="293"/>
    </row>
    <row r="20" spans="1:3" s="345" customFormat="1" ht="12" customHeight="1" thickBot="1">
      <c r="A20" s="186" t="s">
        <v>19</v>
      </c>
      <c r="B20" s="214" t="s">
        <v>394</v>
      </c>
      <c r="C20" s="294">
        <f>SUM(C21:C23)</f>
        <v>0</v>
      </c>
    </row>
    <row r="21" spans="1:3" s="434" customFormat="1" ht="12" customHeight="1">
      <c r="A21" s="427" t="s">
        <v>103</v>
      </c>
      <c r="B21" s="9" t="s">
        <v>253</v>
      </c>
      <c r="C21" s="292"/>
    </row>
    <row r="22" spans="1:3" s="434" customFormat="1" ht="12" customHeight="1">
      <c r="A22" s="427" t="s">
        <v>104</v>
      </c>
      <c r="B22" s="8" t="s">
        <v>395</v>
      </c>
      <c r="C22" s="292"/>
    </row>
    <row r="23" spans="1:3" s="434" customFormat="1" ht="12" customHeight="1">
      <c r="A23" s="427" t="s">
        <v>105</v>
      </c>
      <c r="B23" s="8" t="s">
        <v>396</v>
      </c>
      <c r="C23" s="292"/>
    </row>
    <row r="24" spans="1:3" s="434" customFormat="1" ht="12" customHeight="1" thickBot="1">
      <c r="A24" s="427" t="s">
        <v>106</v>
      </c>
      <c r="B24" s="8" t="s">
        <v>514</v>
      </c>
      <c r="C24" s="292"/>
    </row>
    <row r="25" spans="1:3" s="434" customFormat="1" ht="12" customHeight="1" thickBot="1">
      <c r="A25" s="194" t="s">
        <v>20</v>
      </c>
      <c r="B25" s="118" t="s">
        <v>170</v>
      </c>
      <c r="C25" s="320"/>
    </row>
    <row r="26" spans="1:3" s="434" customFormat="1" ht="12" customHeight="1" thickBot="1">
      <c r="A26" s="194" t="s">
        <v>21</v>
      </c>
      <c r="B26" s="118" t="s">
        <v>397</v>
      </c>
      <c r="C26" s="294">
        <f>+C27+C28</f>
        <v>0</v>
      </c>
    </row>
    <row r="27" spans="1:3" s="434" customFormat="1" ht="12" customHeight="1">
      <c r="A27" s="428" t="s">
        <v>263</v>
      </c>
      <c r="B27" s="429" t="s">
        <v>395</v>
      </c>
      <c r="C27" s="74"/>
    </row>
    <row r="28" spans="1:3" s="434" customFormat="1" ht="12" customHeight="1">
      <c r="A28" s="428" t="s">
        <v>264</v>
      </c>
      <c r="B28" s="430" t="s">
        <v>398</v>
      </c>
      <c r="C28" s="295"/>
    </row>
    <row r="29" spans="1:3" s="434" customFormat="1" ht="12" customHeight="1" thickBot="1">
      <c r="A29" s="427" t="s">
        <v>265</v>
      </c>
      <c r="B29" s="135" t="s">
        <v>515</v>
      </c>
      <c r="C29" s="81"/>
    </row>
    <row r="30" spans="1:3" s="434" customFormat="1" ht="12" customHeight="1" thickBot="1">
      <c r="A30" s="194" t="s">
        <v>22</v>
      </c>
      <c r="B30" s="118" t="s">
        <v>399</v>
      </c>
      <c r="C30" s="294">
        <f>+C31+C32+C33</f>
        <v>0</v>
      </c>
    </row>
    <row r="31" spans="1:3" s="434" customFormat="1" ht="12" customHeight="1">
      <c r="A31" s="428" t="s">
        <v>90</v>
      </c>
      <c r="B31" s="429" t="s">
        <v>284</v>
      </c>
      <c r="C31" s="74"/>
    </row>
    <row r="32" spans="1:3" s="434" customFormat="1" ht="12" customHeight="1">
      <c r="A32" s="428" t="s">
        <v>91</v>
      </c>
      <c r="B32" s="430" t="s">
        <v>285</v>
      </c>
      <c r="C32" s="295"/>
    </row>
    <row r="33" spans="1:3" s="434" customFormat="1" ht="12" customHeight="1" thickBot="1">
      <c r="A33" s="427" t="s">
        <v>92</v>
      </c>
      <c r="B33" s="135" t="s">
        <v>286</v>
      </c>
      <c r="C33" s="81"/>
    </row>
    <row r="34" spans="1:3" s="345" customFormat="1" ht="12" customHeight="1" thickBot="1">
      <c r="A34" s="194" t="s">
        <v>23</v>
      </c>
      <c r="B34" s="118" t="s">
        <v>369</v>
      </c>
      <c r="C34" s="320"/>
    </row>
    <row r="35" spans="1:3" s="345" customFormat="1" ht="12" customHeight="1" thickBot="1">
      <c r="A35" s="194" t="s">
        <v>24</v>
      </c>
      <c r="B35" s="118" t="s">
        <v>400</v>
      </c>
      <c r="C35" s="337"/>
    </row>
    <row r="36" spans="1:3" s="345" customFormat="1" ht="12" customHeight="1" thickBot="1">
      <c r="A36" s="186" t="s">
        <v>25</v>
      </c>
      <c r="B36" s="118" t="s">
        <v>516</v>
      </c>
      <c r="C36" s="338">
        <f>+C8+C20+C25+C26+C30+C34+C35</f>
        <v>4200000</v>
      </c>
    </row>
    <row r="37" spans="1:3" s="345" customFormat="1" ht="12" customHeight="1" thickBot="1">
      <c r="A37" s="215" t="s">
        <v>26</v>
      </c>
      <c r="B37" s="118" t="s">
        <v>401</v>
      </c>
      <c r="C37" s="338">
        <f>+C38+C39+C40</f>
        <v>31177000</v>
      </c>
    </row>
    <row r="38" spans="1:3" s="345" customFormat="1" ht="12" customHeight="1">
      <c r="A38" s="428" t="s">
        <v>402</v>
      </c>
      <c r="B38" s="429" t="s">
        <v>231</v>
      </c>
      <c r="C38" s="74">
        <v>183402</v>
      </c>
    </row>
    <row r="39" spans="1:3" s="345" customFormat="1" ht="12" customHeight="1">
      <c r="A39" s="428" t="s">
        <v>403</v>
      </c>
      <c r="B39" s="430" t="s">
        <v>2</v>
      </c>
      <c r="C39" s="295"/>
    </row>
    <row r="40" spans="1:3" s="434" customFormat="1" ht="12" customHeight="1" thickBot="1">
      <c r="A40" s="427" t="s">
        <v>404</v>
      </c>
      <c r="B40" s="135" t="s">
        <v>405</v>
      </c>
      <c r="C40" s="81">
        <v>30993598</v>
      </c>
    </row>
    <row r="41" spans="1:3" s="434" customFormat="1" ht="15" customHeight="1" thickBot="1">
      <c r="A41" s="215" t="s">
        <v>27</v>
      </c>
      <c r="B41" s="216" t="s">
        <v>406</v>
      </c>
      <c r="C41" s="341">
        <f>+C36+C37</f>
        <v>35377000</v>
      </c>
    </row>
    <row r="42" spans="1:3" s="434" customFormat="1" ht="15" customHeight="1">
      <c r="A42" s="217"/>
      <c r="B42" s="218"/>
      <c r="C42" s="339"/>
    </row>
    <row r="43" spans="1:3" ht="13.5" thickBot="1">
      <c r="A43" s="219"/>
      <c r="B43" s="220"/>
      <c r="C43" s="340"/>
    </row>
    <row r="44" spans="1:3" s="433" customFormat="1" ht="16.5" customHeight="1" thickBot="1">
      <c r="A44" s="221"/>
      <c r="B44" s="222" t="s">
        <v>57</v>
      </c>
      <c r="C44" s="341"/>
    </row>
    <row r="45" spans="1:3" s="435" customFormat="1" ht="12" customHeight="1" thickBot="1">
      <c r="A45" s="194" t="s">
        <v>18</v>
      </c>
      <c r="B45" s="118" t="s">
        <v>407</v>
      </c>
      <c r="C45" s="294">
        <f>SUM(C46:C50)</f>
        <v>33535500</v>
      </c>
    </row>
    <row r="46" spans="1:3" ht="12" customHeight="1">
      <c r="A46" s="427" t="s">
        <v>97</v>
      </c>
      <c r="B46" s="9" t="s">
        <v>49</v>
      </c>
      <c r="C46" s="74">
        <v>11612900</v>
      </c>
    </row>
    <row r="47" spans="1:3" ht="12" customHeight="1">
      <c r="A47" s="427" t="s">
        <v>98</v>
      </c>
      <c r="B47" s="8" t="s">
        <v>179</v>
      </c>
      <c r="C47" s="77">
        <v>2142600</v>
      </c>
    </row>
    <row r="48" spans="1:3" ht="12" customHeight="1">
      <c r="A48" s="427" t="s">
        <v>99</v>
      </c>
      <c r="B48" s="8" t="s">
        <v>137</v>
      </c>
      <c r="C48" s="77">
        <v>19780000</v>
      </c>
    </row>
    <row r="49" spans="1:3" ht="12" customHeight="1">
      <c r="A49" s="427" t="s">
        <v>100</v>
      </c>
      <c r="B49" s="8" t="s">
        <v>180</v>
      </c>
      <c r="C49" s="77"/>
    </row>
    <row r="50" spans="1:3" ht="12" customHeight="1" thickBot="1">
      <c r="A50" s="427" t="s">
        <v>145</v>
      </c>
      <c r="B50" s="8" t="s">
        <v>181</v>
      </c>
      <c r="C50" s="77"/>
    </row>
    <row r="51" spans="1:3" ht="12" customHeight="1" thickBot="1">
      <c r="A51" s="194" t="s">
        <v>19</v>
      </c>
      <c r="B51" s="118" t="s">
        <v>408</v>
      </c>
      <c r="C51" s="294">
        <f>SUM(C52:C54)</f>
        <v>1841500</v>
      </c>
    </row>
    <row r="52" spans="1:3" s="435" customFormat="1" ht="12" customHeight="1">
      <c r="A52" s="427" t="s">
        <v>103</v>
      </c>
      <c r="B52" s="9" t="s">
        <v>225</v>
      </c>
      <c r="C52" s="74">
        <v>1841500</v>
      </c>
    </row>
    <row r="53" spans="1:3" ht="12" customHeight="1">
      <c r="A53" s="427" t="s">
        <v>104</v>
      </c>
      <c r="B53" s="8" t="s">
        <v>183</v>
      </c>
      <c r="C53" s="77"/>
    </row>
    <row r="54" spans="1:3" ht="12" customHeight="1">
      <c r="A54" s="427" t="s">
        <v>105</v>
      </c>
      <c r="B54" s="8" t="s">
        <v>58</v>
      </c>
      <c r="C54" s="77"/>
    </row>
    <row r="55" spans="1:3" ht="12" customHeight="1" thickBot="1">
      <c r="A55" s="427" t="s">
        <v>106</v>
      </c>
      <c r="B55" s="8" t="s">
        <v>513</v>
      </c>
      <c r="C55" s="77"/>
    </row>
    <row r="56" spans="1:3" ht="15" customHeight="1" thickBot="1">
      <c r="A56" s="194" t="s">
        <v>20</v>
      </c>
      <c r="B56" s="118" t="s">
        <v>13</v>
      </c>
      <c r="C56" s="320"/>
    </row>
    <row r="57" spans="1:3" ht="13.5" thickBot="1">
      <c r="A57" s="194" t="s">
        <v>21</v>
      </c>
      <c r="B57" s="223" t="s">
        <v>518</v>
      </c>
      <c r="C57" s="342">
        <f>+C45+C51+C56</f>
        <v>35377000</v>
      </c>
    </row>
    <row r="58" ht="15" customHeight="1" thickBot="1">
      <c r="C58" s="593">
        <f>C41-C57</f>
        <v>0</v>
      </c>
    </row>
    <row r="59" spans="1:3" ht="14.25" customHeight="1" thickBot="1">
      <c r="A59" s="226" t="s">
        <v>511</v>
      </c>
      <c r="B59" s="227"/>
      <c r="C59" s="115">
        <v>2</v>
      </c>
    </row>
    <row r="60" spans="1:3" ht="13.5" thickBot="1">
      <c r="A60" s="226" t="s">
        <v>201</v>
      </c>
      <c r="B60" s="227"/>
      <c r="C60" s="115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H21" sqref="H21"/>
    </sheetView>
  </sheetViews>
  <sheetFormatPr defaultColWidth="9.00390625" defaultRowHeight="12.75"/>
  <cols>
    <col min="1" max="1" width="13.875" style="224" customWidth="1"/>
    <col min="2" max="2" width="79.125" style="225" customWidth="1"/>
    <col min="3" max="3" width="25.00390625" style="225" customWidth="1"/>
    <col min="4" max="16384" width="9.375" style="225" customWidth="1"/>
  </cols>
  <sheetData>
    <row r="1" spans="1:3" s="205" customFormat="1" ht="21" customHeight="1" thickBot="1">
      <c r="A1" s="204"/>
      <c r="B1" s="206"/>
      <c r="C1" s="563" t="str">
        <f>CONCATENATE(ALAPADATOK!P13,"2. melléklet ",ALAPADATOK!A7," ",ALAPADATOK!B7," ",ALAPADATOK!C7," ",ALAPADATOK!D7," ",ALAPADATOK!E7," ",ALAPADATOK!F7," ",ALAPADATOK!G7," ",ALAPADATOK!H7)</f>
        <v>9.2.2. melléklet a 2 / 2020 ( II. 21. ) önkormányzati rendelethez</v>
      </c>
    </row>
    <row r="2" spans="1:3" s="431" customFormat="1" ht="36">
      <c r="A2" s="384" t="s">
        <v>199</v>
      </c>
      <c r="B2" s="561" t="str">
        <f>CONCATENATE('KV_9.3.1.sz.mell'!B2)</f>
        <v>BERTHA BULCSU MŰVELŐDÉSI HÁZ ÉS KÖNYVTÁR</v>
      </c>
      <c r="C2" s="343" t="s">
        <v>60</v>
      </c>
    </row>
    <row r="3" spans="1:3" s="431" customFormat="1" ht="24.75" thickBot="1">
      <c r="A3" s="425" t="s">
        <v>198</v>
      </c>
      <c r="B3" s="562" t="s">
        <v>410</v>
      </c>
      <c r="C3" s="344" t="s">
        <v>60</v>
      </c>
    </row>
    <row r="4" spans="1:3" s="432" customFormat="1" ht="15.75" customHeight="1" thickBot="1">
      <c r="A4" s="207"/>
      <c r="B4" s="207"/>
      <c r="C4" s="208" t="str">
        <f>'KV_9.3.1.sz.mell'!C4</f>
        <v>Forintban!</v>
      </c>
    </row>
    <row r="5" spans="1:3" ht="13.5" thickBot="1">
      <c r="A5" s="385" t="s">
        <v>200</v>
      </c>
      <c r="B5" s="209" t="s">
        <v>551</v>
      </c>
      <c r="C5" s="210" t="s">
        <v>55</v>
      </c>
    </row>
    <row r="6" spans="1:3" s="433" customFormat="1" ht="12.75" customHeight="1" thickBot="1">
      <c r="A6" s="186"/>
      <c r="B6" s="187" t="s">
        <v>485</v>
      </c>
      <c r="C6" s="188" t="s">
        <v>486</v>
      </c>
    </row>
    <row r="7" spans="1:3" s="433" customFormat="1" ht="15.75" customHeight="1" thickBot="1">
      <c r="A7" s="211"/>
      <c r="B7" s="212" t="s">
        <v>56</v>
      </c>
      <c r="C7" s="213"/>
    </row>
    <row r="8" spans="1:3" s="345" customFormat="1" ht="12" customHeight="1" thickBot="1">
      <c r="A8" s="186" t="s">
        <v>18</v>
      </c>
      <c r="B8" s="214" t="s">
        <v>512</v>
      </c>
      <c r="C8" s="294">
        <f>SUM(C9:C19)</f>
        <v>0</v>
      </c>
    </row>
    <row r="9" spans="1:3" s="345" customFormat="1" ht="12" customHeight="1">
      <c r="A9" s="426" t="s">
        <v>97</v>
      </c>
      <c r="B9" s="10" t="s">
        <v>270</v>
      </c>
      <c r="C9" s="335"/>
    </row>
    <row r="10" spans="1:3" s="345" customFormat="1" ht="12" customHeight="1">
      <c r="A10" s="427" t="s">
        <v>98</v>
      </c>
      <c r="B10" s="8" t="s">
        <v>271</v>
      </c>
      <c r="C10" s="292"/>
    </row>
    <row r="11" spans="1:3" s="345" customFormat="1" ht="12" customHeight="1">
      <c r="A11" s="427" t="s">
        <v>99</v>
      </c>
      <c r="B11" s="8" t="s">
        <v>272</v>
      </c>
      <c r="C11" s="292"/>
    </row>
    <row r="12" spans="1:3" s="345" customFormat="1" ht="12" customHeight="1">
      <c r="A12" s="427" t="s">
        <v>100</v>
      </c>
      <c r="B12" s="8" t="s">
        <v>273</v>
      </c>
      <c r="C12" s="292"/>
    </row>
    <row r="13" spans="1:3" s="345" customFormat="1" ht="12" customHeight="1">
      <c r="A13" s="427" t="s">
        <v>145</v>
      </c>
      <c r="B13" s="8" t="s">
        <v>274</v>
      </c>
      <c r="C13" s="292"/>
    </row>
    <row r="14" spans="1:3" s="345" customFormat="1" ht="12" customHeight="1">
      <c r="A14" s="427" t="s">
        <v>101</v>
      </c>
      <c r="B14" s="8" t="s">
        <v>392</v>
      </c>
      <c r="C14" s="292"/>
    </row>
    <row r="15" spans="1:3" s="345" customFormat="1" ht="12" customHeight="1">
      <c r="A15" s="427" t="s">
        <v>102</v>
      </c>
      <c r="B15" s="7" t="s">
        <v>393</v>
      </c>
      <c r="C15" s="292"/>
    </row>
    <row r="16" spans="1:3" s="345" customFormat="1" ht="12" customHeight="1">
      <c r="A16" s="427" t="s">
        <v>112</v>
      </c>
      <c r="B16" s="8" t="s">
        <v>277</v>
      </c>
      <c r="C16" s="336"/>
    </row>
    <row r="17" spans="1:3" s="434" customFormat="1" ht="12" customHeight="1">
      <c r="A17" s="427" t="s">
        <v>113</v>
      </c>
      <c r="B17" s="8" t="s">
        <v>278</v>
      </c>
      <c r="C17" s="292"/>
    </row>
    <row r="18" spans="1:3" s="434" customFormat="1" ht="12" customHeight="1">
      <c r="A18" s="427" t="s">
        <v>114</v>
      </c>
      <c r="B18" s="8" t="s">
        <v>428</v>
      </c>
      <c r="C18" s="293"/>
    </row>
    <row r="19" spans="1:3" s="434" customFormat="1" ht="12" customHeight="1" thickBot="1">
      <c r="A19" s="427" t="s">
        <v>115</v>
      </c>
      <c r="B19" s="7" t="s">
        <v>279</v>
      </c>
      <c r="C19" s="293"/>
    </row>
    <row r="20" spans="1:3" s="345" customFormat="1" ht="12" customHeight="1" thickBot="1">
      <c r="A20" s="186" t="s">
        <v>19</v>
      </c>
      <c r="B20" s="214" t="s">
        <v>394</v>
      </c>
      <c r="C20" s="294">
        <f>SUM(C21:C23)</f>
        <v>0</v>
      </c>
    </row>
    <row r="21" spans="1:3" s="434" customFormat="1" ht="12" customHeight="1">
      <c r="A21" s="427" t="s">
        <v>103</v>
      </c>
      <c r="B21" s="9" t="s">
        <v>253</v>
      </c>
      <c r="C21" s="292"/>
    </row>
    <row r="22" spans="1:3" s="434" customFormat="1" ht="12" customHeight="1">
      <c r="A22" s="427" t="s">
        <v>104</v>
      </c>
      <c r="B22" s="8" t="s">
        <v>395</v>
      </c>
      <c r="C22" s="292"/>
    </row>
    <row r="23" spans="1:3" s="434" customFormat="1" ht="12" customHeight="1">
      <c r="A23" s="427" t="s">
        <v>105</v>
      </c>
      <c r="B23" s="8" t="s">
        <v>396</v>
      </c>
      <c r="C23" s="292"/>
    </row>
    <row r="24" spans="1:3" s="434" customFormat="1" ht="12" customHeight="1" thickBot="1">
      <c r="A24" s="427" t="s">
        <v>106</v>
      </c>
      <c r="B24" s="8" t="s">
        <v>514</v>
      </c>
      <c r="C24" s="292"/>
    </row>
    <row r="25" spans="1:3" s="434" customFormat="1" ht="12" customHeight="1" thickBot="1">
      <c r="A25" s="194" t="s">
        <v>20</v>
      </c>
      <c r="B25" s="118" t="s">
        <v>170</v>
      </c>
      <c r="C25" s="320"/>
    </row>
    <row r="26" spans="1:3" s="434" customFormat="1" ht="12" customHeight="1" thickBot="1">
      <c r="A26" s="194" t="s">
        <v>21</v>
      </c>
      <c r="B26" s="118" t="s">
        <v>397</v>
      </c>
      <c r="C26" s="294">
        <f>+C27+C28</f>
        <v>0</v>
      </c>
    </row>
    <row r="27" spans="1:3" s="434" customFormat="1" ht="12" customHeight="1">
      <c r="A27" s="428" t="s">
        <v>263</v>
      </c>
      <c r="B27" s="429" t="s">
        <v>395</v>
      </c>
      <c r="C27" s="74"/>
    </row>
    <row r="28" spans="1:3" s="434" customFormat="1" ht="12" customHeight="1">
      <c r="A28" s="428" t="s">
        <v>264</v>
      </c>
      <c r="B28" s="430" t="s">
        <v>398</v>
      </c>
      <c r="C28" s="295"/>
    </row>
    <row r="29" spans="1:3" s="434" customFormat="1" ht="12" customHeight="1" thickBot="1">
      <c r="A29" s="427" t="s">
        <v>265</v>
      </c>
      <c r="B29" s="135" t="s">
        <v>515</v>
      </c>
      <c r="C29" s="81"/>
    </row>
    <row r="30" spans="1:3" s="434" customFormat="1" ht="12" customHeight="1" thickBot="1">
      <c r="A30" s="194" t="s">
        <v>22</v>
      </c>
      <c r="B30" s="118" t="s">
        <v>399</v>
      </c>
      <c r="C30" s="294">
        <f>+C31+C32+C33</f>
        <v>0</v>
      </c>
    </row>
    <row r="31" spans="1:3" s="434" customFormat="1" ht="12" customHeight="1">
      <c r="A31" s="428" t="s">
        <v>90</v>
      </c>
      <c r="B31" s="429" t="s">
        <v>284</v>
      </c>
      <c r="C31" s="74"/>
    </row>
    <row r="32" spans="1:3" s="434" customFormat="1" ht="12" customHeight="1">
      <c r="A32" s="428" t="s">
        <v>91</v>
      </c>
      <c r="B32" s="430" t="s">
        <v>285</v>
      </c>
      <c r="C32" s="295"/>
    </row>
    <row r="33" spans="1:3" s="434" customFormat="1" ht="12" customHeight="1" thickBot="1">
      <c r="A33" s="427" t="s">
        <v>92</v>
      </c>
      <c r="B33" s="135" t="s">
        <v>286</v>
      </c>
      <c r="C33" s="81"/>
    </row>
    <row r="34" spans="1:3" s="345" customFormat="1" ht="12" customHeight="1" thickBot="1">
      <c r="A34" s="194" t="s">
        <v>23</v>
      </c>
      <c r="B34" s="118" t="s">
        <v>369</v>
      </c>
      <c r="C34" s="320"/>
    </row>
    <row r="35" spans="1:3" s="345" customFormat="1" ht="12" customHeight="1" thickBot="1">
      <c r="A35" s="194" t="s">
        <v>24</v>
      </c>
      <c r="B35" s="118" t="s">
        <v>400</v>
      </c>
      <c r="C35" s="337"/>
    </row>
    <row r="36" spans="1:3" s="345" customFormat="1" ht="12" customHeight="1" thickBot="1">
      <c r="A36" s="186" t="s">
        <v>25</v>
      </c>
      <c r="B36" s="118" t="s">
        <v>516</v>
      </c>
      <c r="C36" s="338">
        <f>+C8+C20+C25+C26+C30+C34+C35</f>
        <v>0</v>
      </c>
    </row>
    <row r="37" spans="1:3" s="345" customFormat="1" ht="12" customHeight="1" thickBot="1">
      <c r="A37" s="215" t="s">
        <v>26</v>
      </c>
      <c r="B37" s="118" t="s">
        <v>401</v>
      </c>
      <c r="C37" s="338">
        <f>+C38+C39+C40</f>
        <v>0</v>
      </c>
    </row>
    <row r="38" spans="1:3" s="345" customFormat="1" ht="12" customHeight="1">
      <c r="A38" s="428" t="s">
        <v>402</v>
      </c>
      <c r="B38" s="429" t="s">
        <v>231</v>
      </c>
      <c r="C38" s="74"/>
    </row>
    <row r="39" spans="1:3" s="345" customFormat="1" ht="12" customHeight="1">
      <c r="A39" s="428" t="s">
        <v>403</v>
      </c>
      <c r="B39" s="430" t="s">
        <v>2</v>
      </c>
      <c r="C39" s="295"/>
    </row>
    <row r="40" spans="1:3" s="434" customFormat="1" ht="12" customHeight="1" thickBot="1">
      <c r="A40" s="427" t="s">
        <v>404</v>
      </c>
      <c r="B40" s="135" t="s">
        <v>405</v>
      </c>
      <c r="C40" s="81"/>
    </row>
    <row r="41" spans="1:3" s="434" customFormat="1" ht="15" customHeight="1" thickBot="1">
      <c r="A41" s="215" t="s">
        <v>27</v>
      </c>
      <c r="B41" s="216" t="s">
        <v>406</v>
      </c>
      <c r="C41" s="341">
        <f>+C36+C37</f>
        <v>0</v>
      </c>
    </row>
    <row r="42" spans="1:3" s="434" customFormat="1" ht="15" customHeight="1">
      <c r="A42" s="217"/>
      <c r="B42" s="218"/>
      <c r="C42" s="339"/>
    </row>
    <row r="43" spans="1:3" ht="13.5" thickBot="1">
      <c r="A43" s="219"/>
      <c r="B43" s="220"/>
      <c r="C43" s="340"/>
    </row>
    <row r="44" spans="1:3" s="433" customFormat="1" ht="16.5" customHeight="1" thickBot="1">
      <c r="A44" s="221"/>
      <c r="B44" s="222" t="s">
        <v>57</v>
      </c>
      <c r="C44" s="341"/>
    </row>
    <row r="45" spans="1:3" s="435" customFormat="1" ht="12" customHeight="1" thickBot="1">
      <c r="A45" s="194" t="s">
        <v>18</v>
      </c>
      <c r="B45" s="118" t="s">
        <v>407</v>
      </c>
      <c r="C45" s="294">
        <f>SUM(C46:C50)</f>
        <v>0</v>
      </c>
    </row>
    <row r="46" spans="1:3" ht="12" customHeight="1">
      <c r="A46" s="427" t="s">
        <v>97</v>
      </c>
      <c r="B46" s="9" t="s">
        <v>49</v>
      </c>
      <c r="C46" s="74"/>
    </row>
    <row r="47" spans="1:3" ht="12" customHeight="1">
      <c r="A47" s="427" t="s">
        <v>98</v>
      </c>
      <c r="B47" s="8" t="s">
        <v>179</v>
      </c>
      <c r="C47" s="77"/>
    </row>
    <row r="48" spans="1:3" ht="12" customHeight="1">
      <c r="A48" s="427" t="s">
        <v>99</v>
      </c>
      <c r="B48" s="8" t="s">
        <v>137</v>
      </c>
      <c r="C48" s="77"/>
    </row>
    <row r="49" spans="1:3" ht="12" customHeight="1">
      <c r="A49" s="427" t="s">
        <v>100</v>
      </c>
      <c r="B49" s="8" t="s">
        <v>180</v>
      </c>
      <c r="C49" s="77"/>
    </row>
    <row r="50" spans="1:3" ht="12" customHeight="1" thickBot="1">
      <c r="A50" s="427" t="s">
        <v>145</v>
      </c>
      <c r="B50" s="8" t="s">
        <v>181</v>
      </c>
      <c r="C50" s="77"/>
    </row>
    <row r="51" spans="1:3" ht="12" customHeight="1" thickBot="1">
      <c r="A51" s="194" t="s">
        <v>19</v>
      </c>
      <c r="B51" s="118" t="s">
        <v>408</v>
      </c>
      <c r="C51" s="294">
        <f>SUM(C52:C54)</f>
        <v>0</v>
      </c>
    </row>
    <row r="52" spans="1:3" s="435" customFormat="1" ht="12" customHeight="1">
      <c r="A52" s="427" t="s">
        <v>103</v>
      </c>
      <c r="B52" s="9" t="s">
        <v>225</v>
      </c>
      <c r="C52" s="74"/>
    </row>
    <row r="53" spans="1:3" ht="12" customHeight="1">
      <c r="A53" s="427" t="s">
        <v>104</v>
      </c>
      <c r="B53" s="8" t="s">
        <v>183</v>
      </c>
      <c r="C53" s="77"/>
    </row>
    <row r="54" spans="1:3" ht="12" customHeight="1">
      <c r="A54" s="427" t="s">
        <v>105</v>
      </c>
      <c r="B54" s="8" t="s">
        <v>58</v>
      </c>
      <c r="C54" s="77"/>
    </row>
    <row r="55" spans="1:3" ht="12" customHeight="1" thickBot="1">
      <c r="A55" s="427" t="s">
        <v>106</v>
      </c>
      <c r="B55" s="8" t="s">
        <v>513</v>
      </c>
      <c r="C55" s="77"/>
    </row>
    <row r="56" spans="1:3" ht="15" customHeight="1" thickBot="1">
      <c r="A56" s="194" t="s">
        <v>20</v>
      </c>
      <c r="B56" s="118" t="s">
        <v>13</v>
      </c>
      <c r="C56" s="320"/>
    </row>
    <row r="57" spans="1:3" ht="13.5" thickBot="1">
      <c r="A57" s="194" t="s">
        <v>21</v>
      </c>
      <c r="B57" s="223" t="s">
        <v>518</v>
      </c>
      <c r="C57" s="342">
        <f>+C45+C51+C56</f>
        <v>0</v>
      </c>
    </row>
    <row r="58" ht="15" customHeight="1" thickBot="1">
      <c r="C58" s="593">
        <f>C41-C57</f>
        <v>0</v>
      </c>
    </row>
    <row r="59" spans="1:3" ht="14.25" customHeight="1" thickBot="1">
      <c r="A59" s="226" t="s">
        <v>511</v>
      </c>
      <c r="B59" s="227"/>
      <c r="C59" s="115"/>
    </row>
    <row r="60" spans="1:3" ht="13.5" thickBot="1">
      <c r="A60" s="226" t="s">
        <v>201</v>
      </c>
      <c r="B60" s="227"/>
      <c r="C60" s="115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C4" sqref="C4"/>
    </sheetView>
  </sheetViews>
  <sheetFormatPr defaultColWidth="9.00390625" defaultRowHeight="12.75"/>
  <cols>
    <col min="1" max="1" width="13.875" style="224" customWidth="1"/>
    <col min="2" max="2" width="79.125" style="225" customWidth="1"/>
    <col min="3" max="3" width="25.00390625" style="225" customWidth="1"/>
    <col min="4" max="16384" width="9.375" style="225" customWidth="1"/>
  </cols>
  <sheetData>
    <row r="1" spans="1:3" s="205" customFormat="1" ht="21" customHeight="1" thickBot="1">
      <c r="A1" s="566"/>
      <c r="B1" s="567"/>
      <c r="C1" s="563" t="str">
        <f>CONCATENATE(ALAPADATOK!P13,"3. melléklet ",ALAPADATOK!A7," ",ALAPADATOK!B7," ",ALAPADATOK!C7," ",ALAPADATOK!D7," ",ALAPADATOK!E7," ",ALAPADATOK!F7," ",ALAPADATOK!G7," ",ALAPADATOK!H7)</f>
        <v>9.2.3. melléklet a 2 / 2020 ( II. 21. ) önkormányzati rendelethez</v>
      </c>
    </row>
    <row r="2" spans="1:3" s="431" customFormat="1" ht="36">
      <c r="A2" s="568" t="s">
        <v>199</v>
      </c>
      <c r="B2" s="569" t="str">
        <f>CONCATENATE('KV_9.3.2.sz.mell'!B2)</f>
        <v>BERTHA BULCSU MŰVELŐDÉSI HÁZ ÉS KÖNYVTÁR</v>
      </c>
      <c r="C2" s="589" t="s">
        <v>60</v>
      </c>
    </row>
    <row r="3" spans="1:3" s="431" customFormat="1" ht="24.75" thickBot="1">
      <c r="A3" s="590" t="s">
        <v>198</v>
      </c>
      <c r="B3" s="572" t="s">
        <v>519</v>
      </c>
      <c r="C3" s="591" t="s">
        <v>423</v>
      </c>
    </row>
    <row r="4" spans="1:3" s="432" customFormat="1" ht="15.75" customHeight="1" thickBot="1">
      <c r="A4" s="574"/>
      <c r="B4" s="574"/>
      <c r="C4" s="575" t="str">
        <f>'KV_9.3.2.sz.mell'!C4</f>
        <v>Forintban!</v>
      </c>
    </row>
    <row r="5" spans="1:3" ht="13.5" thickBot="1">
      <c r="A5" s="385" t="s">
        <v>200</v>
      </c>
      <c r="B5" s="209" t="s">
        <v>551</v>
      </c>
      <c r="C5" s="526" t="s">
        <v>55</v>
      </c>
    </row>
    <row r="6" spans="1:3" s="433" customFormat="1" ht="12.75" customHeight="1" thickBot="1">
      <c r="A6" s="186"/>
      <c r="B6" s="187" t="s">
        <v>485</v>
      </c>
      <c r="C6" s="188" t="s">
        <v>486</v>
      </c>
    </row>
    <row r="7" spans="1:3" s="433" customFormat="1" ht="15.75" customHeight="1" thickBot="1">
      <c r="A7" s="211"/>
      <c r="B7" s="212" t="s">
        <v>56</v>
      </c>
      <c r="C7" s="213"/>
    </row>
    <row r="8" spans="1:3" s="345" customFormat="1" ht="12" customHeight="1" thickBot="1">
      <c r="A8" s="186" t="s">
        <v>18</v>
      </c>
      <c r="B8" s="214" t="s">
        <v>512</v>
      </c>
      <c r="C8" s="294">
        <f>SUM(C9:C19)</f>
        <v>0</v>
      </c>
    </row>
    <row r="9" spans="1:3" s="345" customFormat="1" ht="12" customHeight="1">
      <c r="A9" s="426" t="s">
        <v>97</v>
      </c>
      <c r="B9" s="10" t="s">
        <v>270</v>
      </c>
      <c r="C9" s="335"/>
    </row>
    <row r="10" spans="1:3" s="345" customFormat="1" ht="12" customHeight="1">
      <c r="A10" s="427" t="s">
        <v>98</v>
      </c>
      <c r="B10" s="8" t="s">
        <v>271</v>
      </c>
      <c r="C10" s="292"/>
    </row>
    <row r="11" spans="1:3" s="345" customFormat="1" ht="12" customHeight="1">
      <c r="A11" s="427" t="s">
        <v>99</v>
      </c>
      <c r="B11" s="8" t="s">
        <v>272</v>
      </c>
      <c r="C11" s="292"/>
    </row>
    <row r="12" spans="1:3" s="345" customFormat="1" ht="12" customHeight="1">
      <c r="A12" s="427" t="s">
        <v>100</v>
      </c>
      <c r="B12" s="8" t="s">
        <v>273</v>
      </c>
      <c r="C12" s="292"/>
    </row>
    <row r="13" spans="1:3" s="345" customFormat="1" ht="12" customHeight="1">
      <c r="A13" s="427" t="s">
        <v>145</v>
      </c>
      <c r="B13" s="8" t="s">
        <v>274</v>
      </c>
      <c r="C13" s="292"/>
    </row>
    <row r="14" spans="1:3" s="345" customFormat="1" ht="12" customHeight="1">
      <c r="A14" s="427" t="s">
        <v>101</v>
      </c>
      <c r="B14" s="8" t="s">
        <v>392</v>
      </c>
      <c r="C14" s="292"/>
    </row>
    <row r="15" spans="1:3" s="345" customFormat="1" ht="12" customHeight="1">
      <c r="A15" s="427" t="s">
        <v>102</v>
      </c>
      <c r="B15" s="7" t="s">
        <v>393</v>
      </c>
      <c r="C15" s="292"/>
    </row>
    <row r="16" spans="1:3" s="345" customFormat="1" ht="12" customHeight="1">
      <c r="A16" s="427" t="s">
        <v>112</v>
      </c>
      <c r="B16" s="8" t="s">
        <v>277</v>
      </c>
      <c r="C16" s="336"/>
    </row>
    <row r="17" spans="1:3" s="434" customFormat="1" ht="12" customHeight="1">
      <c r="A17" s="427" t="s">
        <v>113</v>
      </c>
      <c r="B17" s="8" t="s">
        <v>278</v>
      </c>
      <c r="C17" s="292"/>
    </row>
    <row r="18" spans="1:3" s="434" customFormat="1" ht="12" customHeight="1">
      <c r="A18" s="427" t="s">
        <v>114</v>
      </c>
      <c r="B18" s="8" t="s">
        <v>428</v>
      </c>
      <c r="C18" s="293"/>
    </row>
    <row r="19" spans="1:3" s="434" customFormat="1" ht="12" customHeight="1" thickBot="1">
      <c r="A19" s="427" t="s">
        <v>115</v>
      </c>
      <c r="B19" s="7" t="s">
        <v>279</v>
      </c>
      <c r="C19" s="293"/>
    </row>
    <row r="20" spans="1:3" s="345" customFormat="1" ht="12" customHeight="1" thickBot="1">
      <c r="A20" s="186" t="s">
        <v>19</v>
      </c>
      <c r="B20" s="214" t="s">
        <v>394</v>
      </c>
      <c r="C20" s="294">
        <f>SUM(C21:C23)</f>
        <v>0</v>
      </c>
    </row>
    <row r="21" spans="1:3" s="434" customFormat="1" ht="12" customHeight="1">
      <c r="A21" s="427" t="s">
        <v>103</v>
      </c>
      <c r="B21" s="9" t="s">
        <v>253</v>
      </c>
      <c r="C21" s="292"/>
    </row>
    <row r="22" spans="1:3" s="434" customFormat="1" ht="12" customHeight="1">
      <c r="A22" s="427" t="s">
        <v>104</v>
      </c>
      <c r="B22" s="8" t="s">
        <v>395</v>
      </c>
      <c r="C22" s="292"/>
    </row>
    <row r="23" spans="1:3" s="434" customFormat="1" ht="12" customHeight="1">
      <c r="A23" s="427" t="s">
        <v>105</v>
      </c>
      <c r="B23" s="8" t="s">
        <v>396</v>
      </c>
      <c r="C23" s="292"/>
    </row>
    <row r="24" spans="1:3" s="434" customFormat="1" ht="12" customHeight="1" thickBot="1">
      <c r="A24" s="427" t="s">
        <v>106</v>
      </c>
      <c r="B24" s="8" t="s">
        <v>514</v>
      </c>
      <c r="C24" s="292"/>
    </row>
    <row r="25" spans="1:3" s="434" customFormat="1" ht="12" customHeight="1" thickBot="1">
      <c r="A25" s="194" t="s">
        <v>20</v>
      </c>
      <c r="B25" s="118" t="s">
        <v>170</v>
      </c>
      <c r="C25" s="320"/>
    </row>
    <row r="26" spans="1:3" s="434" customFormat="1" ht="12" customHeight="1" thickBot="1">
      <c r="A26" s="194" t="s">
        <v>21</v>
      </c>
      <c r="B26" s="118" t="s">
        <v>397</v>
      </c>
      <c r="C26" s="294">
        <f>+C27+C28</f>
        <v>0</v>
      </c>
    </row>
    <row r="27" spans="1:3" s="434" customFormat="1" ht="12" customHeight="1">
      <c r="A27" s="428" t="s">
        <v>263</v>
      </c>
      <c r="B27" s="429" t="s">
        <v>395</v>
      </c>
      <c r="C27" s="74"/>
    </row>
    <row r="28" spans="1:3" s="434" customFormat="1" ht="12" customHeight="1">
      <c r="A28" s="428" t="s">
        <v>264</v>
      </c>
      <c r="B28" s="430" t="s">
        <v>398</v>
      </c>
      <c r="C28" s="295"/>
    </row>
    <row r="29" spans="1:3" s="434" customFormat="1" ht="12" customHeight="1" thickBot="1">
      <c r="A29" s="427" t="s">
        <v>265</v>
      </c>
      <c r="B29" s="135" t="s">
        <v>515</v>
      </c>
      <c r="C29" s="81"/>
    </row>
    <row r="30" spans="1:3" s="434" customFormat="1" ht="12" customHeight="1" thickBot="1">
      <c r="A30" s="194" t="s">
        <v>22</v>
      </c>
      <c r="B30" s="118" t="s">
        <v>399</v>
      </c>
      <c r="C30" s="294">
        <f>+C31+C32+C33</f>
        <v>0</v>
      </c>
    </row>
    <row r="31" spans="1:3" s="434" customFormat="1" ht="12" customHeight="1">
      <c r="A31" s="428" t="s">
        <v>90</v>
      </c>
      <c r="B31" s="429" t="s">
        <v>284</v>
      </c>
      <c r="C31" s="74"/>
    </row>
    <row r="32" spans="1:3" s="434" customFormat="1" ht="12" customHeight="1">
      <c r="A32" s="428" t="s">
        <v>91</v>
      </c>
      <c r="B32" s="430" t="s">
        <v>285</v>
      </c>
      <c r="C32" s="295"/>
    </row>
    <row r="33" spans="1:3" s="434" customFormat="1" ht="12" customHeight="1" thickBot="1">
      <c r="A33" s="427" t="s">
        <v>92</v>
      </c>
      <c r="B33" s="135" t="s">
        <v>286</v>
      </c>
      <c r="C33" s="81"/>
    </row>
    <row r="34" spans="1:3" s="345" customFormat="1" ht="12" customHeight="1" thickBot="1">
      <c r="A34" s="194" t="s">
        <v>23</v>
      </c>
      <c r="B34" s="118" t="s">
        <v>369</v>
      </c>
      <c r="C34" s="320"/>
    </row>
    <row r="35" spans="1:3" s="345" customFormat="1" ht="12" customHeight="1" thickBot="1">
      <c r="A35" s="194" t="s">
        <v>24</v>
      </c>
      <c r="B35" s="118" t="s">
        <v>400</v>
      </c>
      <c r="C35" s="337"/>
    </row>
    <row r="36" spans="1:3" s="345" customFormat="1" ht="12" customHeight="1" thickBot="1">
      <c r="A36" s="186" t="s">
        <v>25</v>
      </c>
      <c r="B36" s="118" t="s">
        <v>516</v>
      </c>
      <c r="C36" s="338">
        <f>+C8+C20+C25+C26+C30+C34+C35</f>
        <v>0</v>
      </c>
    </row>
    <row r="37" spans="1:3" s="345" customFormat="1" ht="12" customHeight="1" thickBot="1">
      <c r="A37" s="215" t="s">
        <v>26</v>
      </c>
      <c r="B37" s="118" t="s">
        <v>401</v>
      </c>
      <c r="C37" s="338">
        <f>+C38+C39+C40</f>
        <v>0</v>
      </c>
    </row>
    <row r="38" spans="1:3" s="345" customFormat="1" ht="12" customHeight="1">
      <c r="A38" s="428" t="s">
        <v>402</v>
      </c>
      <c r="B38" s="429" t="s">
        <v>231</v>
      </c>
      <c r="C38" s="74"/>
    </row>
    <row r="39" spans="1:3" s="345" customFormat="1" ht="12" customHeight="1">
      <c r="A39" s="428" t="s">
        <v>403</v>
      </c>
      <c r="B39" s="430" t="s">
        <v>2</v>
      </c>
      <c r="C39" s="295"/>
    </row>
    <row r="40" spans="1:3" s="434" customFormat="1" ht="12" customHeight="1" thickBot="1">
      <c r="A40" s="427" t="s">
        <v>404</v>
      </c>
      <c r="B40" s="135" t="s">
        <v>405</v>
      </c>
      <c r="C40" s="81"/>
    </row>
    <row r="41" spans="1:3" s="434" customFormat="1" ht="15" customHeight="1" thickBot="1">
      <c r="A41" s="215" t="s">
        <v>27</v>
      </c>
      <c r="B41" s="216" t="s">
        <v>406</v>
      </c>
      <c r="C41" s="341">
        <f>+C36+C37</f>
        <v>0</v>
      </c>
    </row>
    <row r="42" spans="1:3" s="434" customFormat="1" ht="15" customHeight="1">
      <c r="A42" s="217"/>
      <c r="B42" s="218"/>
      <c r="C42" s="339"/>
    </row>
    <row r="43" spans="1:3" ht="13.5" thickBot="1">
      <c r="A43" s="219"/>
      <c r="B43" s="220"/>
      <c r="C43" s="340"/>
    </row>
    <row r="44" spans="1:3" s="433" customFormat="1" ht="16.5" customHeight="1" thickBot="1">
      <c r="A44" s="221"/>
      <c r="B44" s="222" t="s">
        <v>57</v>
      </c>
      <c r="C44" s="341"/>
    </row>
    <row r="45" spans="1:3" s="435" customFormat="1" ht="12" customHeight="1" thickBot="1">
      <c r="A45" s="194" t="s">
        <v>18</v>
      </c>
      <c r="B45" s="118" t="s">
        <v>407</v>
      </c>
      <c r="C45" s="294">
        <f>SUM(C46:C50)</f>
        <v>0</v>
      </c>
    </row>
    <row r="46" spans="1:3" ht="12" customHeight="1">
      <c r="A46" s="427" t="s">
        <v>97</v>
      </c>
      <c r="B46" s="9" t="s">
        <v>49</v>
      </c>
      <c r="C46" s="74"/>
    </row>
    <row r="47" spans="1:3" ht="12" customHeight="1">
      <c r="A47" s="427" t="s">
        <v>98</v>
      </c>
      <c r="B47" s="8" t="s">
        <v>179</v>
      </c>
      <c r="C47" s="77"/>
    </row>
    <row r="48" spans="1:3" ht="12" customHeight="1">
      <c r="A48" s="427" t="s">
        <v>99</v>
      </c>
      <c r="B48" s="8" t="s">
        <v>137</v>
      </c>
      <c r="C48" s="77"/>
    </row>
    <row r="49" spans="1:3" ht="12" customHeight="1">
      <c r="A49" s="427" t="s">
        <v>100</v>
      </c>
      <c r="B49" s="8" t="s">
        <v>180</v>
      </c>
      <c r="C49" s="77"/>
    </row>
    <row r="50" spans="1:3" ht="12" customHeight="1" thickBot="1">
      <c r="A50" s="427" t="s">
        <v>145</v>
      </c>
      <c r="B50" s="8" t="s">
        <v>181</v>
      </c>
      <c r="C50" s="77"/>
    </row>
    <row r="51" spans="1:3" ht="12" customHeight="1" thickBot="1">
      <c r="A51" s="194" t="s">
        <v>19</v>
      </c>
      <c r="B51" s="118" t="s">
        <v>408</v>
      </c>
      <c r="C51" s="294">
        <f>SUM(C52:C54)</f>
        <v>0</v>
      </c>
    </row>
    <row r="52" spans="1:3" s="435" customFormat="1" ht="12" customHeight="1">
      <c r="A52" s="427" t="s">
        <v>103</v>
      </c>
      <c r="B52" s="9" t="s">
        <v>225</v>
      </c>
      <c r="C52" s="74"/>
    </row>
    <row r="53" spans="1:3" ht="12" customHeight="1">
      <c r="A53" s="427" t="s">
        <v>104</v>
      </c>
      <c r="B53" s="8" t="s">
        <v>183</v>
      </c>
      <c r="C53" s="77"/>
    </row>
    <row r="54" spans="1:3" ht="12" customHeight="1">
      <c r="A54" s="427" t="s">
        <v>105</v>
      </c>
      <c r="B54" s="8" t="s">
        <v>58</v>
      </c>
      <c r="C54" s="77"/>
    </row>
    <row r="55" spans="1:3" ht="12" customHeight="1" thickBot="1">
      <c r="A55" s="427" t="s">
        <v>106</v>
      </c>
      <c r="B55" s="8" t="s">
        <v>513</v>
      </c>
      <c r="C55" s="77"/>
    </row>
    <row r="56" spans="1:3" ht="15" customHeight="1" thickBot="1">
      <c r="A56" s="194" t="s">
        <v>20</v>
      </c>
      <c r="B56" s="118" t="s">
        <v>13</v>
      </c>
      <c r="C56" s="320"/>
    </row>
    <row r="57" spans="1:3" ht="13.5" thickBot="1">
      <c r="A57" s="194" t="s">
        <v>21</v>
      </c>
      <c r="B57" s="223" t="s">
        <v>518</v>
      </c>
      <c r="C57" s="342">
        <f>+C45+C51+C56</f>
        <v>0</v>
      </c>
    </row>
    <row r="58" ht="15" customHeight="1" thickBot="1">
      <c r="C58" s="593">
        <f>C41-C57</f>
        <v>0</v>
      </c>
    </row>
    <row r="59" spans="1:3" ht="14.25" customHeight="1" thickBot="1">
      <c r="A59" s="226" t="s">
        <v>511</v>
      </c>
      <c r="B59" s="227"/>
      <c r="C59" s="115"/>
    </row>
    <row r="60" spans="1:3" ht="13.5" thickBot="1">
      <c r="A60" s="226" t="s">
        <v>201</v>
      </c>
      <c r="B60" s="227"/>
      <c r="C60" s="115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2:G29"/>
  <sheetViews>
    <sheetView zoomScale="120" zoomScaleNormal="120" workbookViewId="0" topLeftCell="A1">
      <selection activeCell="G11" sqref="G11"/>
    </sheetView>
  </sheetViews>
  <sheetFormatPr defaultColWidth="9.00390625" defaultRowHeight="12.75"/>
  <cols>
    <col min="1" max="1" width="5.50390625" style="46" customWidth="1"/>
    <col min="2" max="2" width="33.125" style="46" customWidth="1"/>
    <col min="3" max="3" width="12.375" style="46" customWidth="1"/>
    <col min="4" max="4" width="11.50390625" style="46" customWidth="1"/>
    <col min="5" max="5" width="11.375" style="46" customWidth="1"/>
    <col min="6" max="6" width="11.00390625" style="46" customWidth="1"/>
    <col min="7" max="7" width="14.375" style="46" customWidth="1"/>
    <col min="8" max="16384" width="9.375" style="46" customWidth="1"/>
  </cols>
  <sheetData>
    <row r="2" spans="2:7" ht="15">
      <c r="B2" s="812" t="str">
        <f>CONCATENATE("10. melléklet ",ALAPADATOK!A7," ",ALAPADATOK!B7," ",ALAPADATOK!C7," ",ALAPADATOK!D7," ",ALAPADATOK!E7," ",ALAPADATOK!F7," ",ALAPADATOK!G7," ",ALAPADATOK!H7)</f>
        <v>10. melléklet a 2 / 2020 ( II. 21. ) önkormányzati rendelethez</v>
      </c>
      <c r="C2" s="812"/>
      <c r="D2" s="812"/>
      <c r="E2" s="812"/>
      <c r="F2" s="812"/>
      <c r="G2" s="812"/>
    </row>
    <row r="4" spans="1:7" ht="43.5" customHeight="1">
      <c r="A4" s="811" t="s">
        <v>3</v>
      </c>
      <c r="B4" s="811"/>
      <c r="C4" s="811"/>
      <c r="D4" s="811"/>
      <c r="E4" s="811"/>
      <c r="F4" s="811"/>
      <c r="G4" s="811"/>
    </row>
    <row r="6" spans="1:7" s="153" customFormat="1" ht="27" customHeight="1">
      <c r="A6" s="642" t="s">
        <v>205</v>
      </c>
      <c r="C6" s="810" t="s">
        <v>206</v>
      </c>
      <c r="D6" s="810"/>
      <c r="E6" s="810"/>
      <c r="F6" s="810"/>
      <c r="G6" s="810"/>
    </row>
    <row r="7" s="153" customFormat="1" ht="15.75"/>
    <row r="8" spans="1:6" s="153" customFormat="1" ht="24.75" customHeight="1">
      <c r="A8" s="642" t="s">
        <v>207</v>
      </c>
      <c r="C8" s="810" t="s">
        <v>206</v>
      </c>
      <c r="D8" s="810"/>
      <c r="E8" s="810"/>
      <c r="F8" s="810"/>
    </row>
    <row r="9" s="154" customFormat="1" ht="12.75"/>
    <row r="10" spans="1:7" s="155" customFormat="1" ht="15" customHeight="1">
      <c r="A10" s="243" t="s">
        <v>553</v>
      </c>
      <c r="B10" s="242"/>
      <c r="C10" s="242"/>
      <c r="D10" s="242"/>
      <c r="E10" s="242"/>
      <c r="F10" s="242"/>
      <c r="G10" s="242"/>
    </row>
    <row r="11" spans="1:7" s="155" customFormat="1" ht="15" customHeight="1" thickBot="1">
      <c r="A11" s="243" t="s">
        <v>208</v>
      </c>
      <c r="B11" s="242"/>
      <c r="C11" s="242"/>
      <c r="D11" s="242"/>
      <c r="E11" s="242"/>
      <c r="F11" s="242"/>
      <c r="G11" s="634" t="str">
        <f>'KV_9.3.3.sz.mell'!C4</f>
        <v>Forintban!</v>
      </c>
    </row>
    <row r="12" spans="1:7" s="73" customFormat="1" ht="42" customHeight="1" thickBot="1">
      <c r="A12" s="183" t="s">
        <v>16</v>
      </c>
      <c r="B12" s="184" t="s">
        <v>209</v>
      </c>
      <c r="C12" s="184" t="s">
        <v>210</v>
      </c>
      <c r="D12" s="184" t="s">
        <v>211</v>
      </c>
      <c r="E12" s="184" t="s">
        <v>212</v>
      </c>
      <c r="F12" s="184" t="s">
        <v>213</v>
      </c>
      <c r="G12" s="185" t="s">
        <v>53</v>
      </c>
    </row>
    <row r="13" spans="1:7" ht="24" customHeight="1">
      <c r="A13" s="229" t="s">
        <v>18</v>
      </c>
      <c r="B13" s="192" t="s">
        <v>214</v>
      </c>
      <c r="C13" s="156"/>
      <c r="D13" s="156"/>
      <c r="E13" s="156"/>
      <c r="F13" s="156"/>
      <c r="G13" s="230">
        <f>SUM(C13:F13)</f>
        <v>0</v>
      </c>
    </row>
    <row r="14" spans="1:7" ht="24" customHeight="1">
      <c r="A14" s="231" t="s">
        <v>19</v>
      </c>
      <c r="B14" s="193" t="s">
        <v>215</v>
      </c>
      <c r="C14" s="157"/>
      <c r="D14" s="157"/>
      <c r="E14" s="157"/>
      <c r="F14" s="157"/>
      <c r="G14" s="232">
        <f aca="true" t="shared" si="0" ref="G14:G19">SUM(C14:F14)</f>
        <v>0</v>
      </c>
    </row>
    <row r="15" spans="1:7" ht="24" customHeight="1">
      <c r="A15" s="231" t="s">
        <v>20</v>
      </c>
      <c r="B15" s="193" t="s">
        <v>216</v>
      </c>
      <c r="C15" s="157"/>
      <c r="D15" s="157"/>
      <c r="E15" s="157"/>
      <c r="F15" s="157"/>
      <c r="G15" s="232">
        <f t="shared" si="0"/>
        <v>0</v>
      </c>
    </row>
    <row r="16" spans="1:7" ht="24" customHeight="1">
      <c r="A16" s="231" t="s">
        <v>21</v>
      </c>
      <c r="B16" s="193" t="s">
        <v>217</v>
      </c>
      <c r="C16" s="157"/>
      <c r="D16" s="157"/>
      <c r="E16" s="157"/>
      <c r="F16" s="157"/>
      <c r="G16" s="232">
        <f t="shared" si="0"/>
        <v>0</v>
      </c>
    </row>
    <row r="17" spans="1:7" ht="24" customHeight="1">
      <c r="A17" s="231" t="s">
        <v>22</v>
      </c>
      <c r="B17" s="193" t="s">
        <v>218</v>
      </c>
      <c r="C17" s="157"/>
      <c r="D17" s="157"/>
      <c r="E17" s="157"/>
      <c r="F17" s="157"/>
      <c r="G17" s="232">
        <f t="shared" si="0"/>
        <v>0</v>
      </c>
    </row>
    <row r="18" spans="1:7" ht="24" customHeight="1" thickBot="1">
      <c r="A18" s="233" t="s">
        <v>23</v>
      </c>
      <c r="B18" s="234" t="s">
        <v>219</v>
      </c>
      <c r="C18" s="158"/>
      <c r="D18" s="158"/>
      <c r="E18" s="158"/>
      <c r="F18" s="158"/>
      <c r="G18" s="235">
        <f t="shared" si="0"/>
        <v>0</v>
      </c>
    </row>
    <row r="19" spans="1:7" s="159" customFormat="1" ht="24" customHeight="1" thickBot="1">
      <c r="A19" s="236" t="s">
        <v>24</v>
      </c>
      <c r="B19" s="237" t="s">
        <v>53</v>
      </c>
      <c r="C19" s="238">
        <f>SUM(C13:C18)</f>
        <v>0</v>
      </c>
      <c r="D19" s="238">
        <f>SUM(D13:D18)</f>
        <v>0</v>
      </c>
      <c r="E19" s="238">
        <f>SUM(E13:E18)</f>
        <v>0</v>
      </c>
      <c r="F19" s="238">
        <f>SUM(F13:F18)</f>
        <v>0</v>
      </c>
      <c r="G19" s="239">
        <f t="shared" si="0"/>
        <v>0</v>
      </c>
    </row>
    <row r="20" spans="1:7" s="154" customFormat="1" ht="12.75">
      <c r="A20" s="203"/>
      <c r="B20" s="203"/>
      <c r="C20" s="203"/>
      <c r="D20" s="203"/>
      <c r="E20" s="203"/>
      <c r="F20" s="203"/>
      <c r="G20" s="203"/>
    </row>
    <row r="21" spans="1:7" s="154" customFormat="1" ht="12.75">
      <c r="A21" s="203"/>
      <c r="B21" s="203"/>
      <c r="C21" s="203"/>
      <c r="D21" s="203"/>
      <c r="E21" s="203"/>
      <c r="F21" s="203"/>
      <c r="G21" s="203"/>
    </row>
    <row r="22" spans="1:7" s="154" customFormat="1" ht="12.75">
      <c r="A22" s="203"/>
      <c r="B22" s="203"/>
      <c r="C22" s="203"/>
      <c r="D22" s="203"/>
      <c r="E22" s="203"/>
      <c r="F22" s="203"/>
      <c r="G22" s="203"/>
    </row>
    <row r="23" spans="1:7" s="154" customFormat="1" ht="15.75">
      <c r="A23" s="153" t="str">
        <f>+CONCATENATE("......................, ",LEFT(KV_ÖSSZEFÜGGÉSEK!A5,4),". .......................... hó ..... nap")</f>
        <v>......................, 2020. .......................... hó ..... nap</v>
      </c>
      <c r="F23" s="203"/>
      <c r="G23" s="203"/>
    </row>
    <row r="24" spans="6:7" s="154" customFormat="1" ht="12.75">
      <c r="F24" s="203"/>
      <c r="G24" s="203"/>
    </row>
    <row r="25" spans="1:7" ht="12.75">
      <c r="A25" s="203"/>
      <c r="B25" s="203"/>
      <c r="C25" s="203"/>
      <c r="D25" s="203"/>
      <c r="E25" s="203"/>
      <c r="F25" s="203"/>
      <c r="G25" s="203"/>
    </row>
    <row r="26" spans="1:7" ht="12.75">
      <c r="A26" s="203"/>
      <c r="B26" s="203"/>
      <c r="C26" s="154"/>
      <c r="D26" s="154"/>
      <c r="E26" s="154"/>
      <c r="F26" s="154"/>
      <c r="G26" s="203"/>
    </row>
    <row r="27" spans="1:7" ht="13.5">
      <c r="A27" s="203"/>
      <c r="B27" s="203"/>
      <c r="C27" s="240"/>
      <c r="D27" s="241" t="s">
        <v>220</v>
      </c>
      <c r="E27" s="241"/>
      <c r="F27" s="240"/>
      <c r="G27" s="203"/>
    </row>
    <row r="28" spans="3:6" ht="13.5">
      <c r="C28" s="160"/>
      <c r="D28" s="161"/>
      <c r="E28" s="161"/>
      <c r="F28" s="160"/>
    </row>
    <row r="29" spans="3:6" ht="13.5">
      <c r="C29" s="160"/>
      <c r="D29" s="161"/>
      <c r="E29" s="161"/>
      <c r="F29" s="160"/>
    </row>
  </sheetData>
  <sheetProtection sheet="1"/>
  <mergeCells count="4">
    <mergeCell ref="C6:G6"/>
    <mergeCell ref="C8:F8"/>
    <mergeCell ref="A4:G4"/>
    <mergeCell ref="B2:G2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0"/>
  <sheetViews>
    <sheetView zoomScale="120" zoomScaleNormal="120" zoomScaleSheetLayoutView="100" workbookViewId="0" topLeftCell="A1">
      <selection activeCell="E146" sqref="E146"/>
    </sheetView>
  </sheetViews>
  <sheetFormatPr defaultColWidth="9.00390625" defaultRowHeight="12.75"/>
  <cols>
    <col min="1" max="1" width="9.00390625" style="360" customWidth="1"/>
    <col min="2" max="2" width="75.875" style="360" customWidth="1"/>
    <col min="3" max="3" width="15.50390625" style="361" customWidth="1"/>
    <col min="4" max="5" width="15.50390625" style="360" customWidth="1"/>
    <col min="6" max="6" width="9.00390625" style="38" customWidth="1"/>
    <col min="7" max="16384" width="9.375" style="38" customWidth="1"/>
  </cols>
  <sheetData>
    <row r="1" spans="1:5" ht="14.25" customHeight="1">
      <c r="A1" s="595"/>
      <c r="B1" s="595"/>
      <c r="C1" s="599"/>
      <c r="D1" s="595"/>
      <c r="E1" s="625" t="str">
        <f>CONCATENATE("1. tájékoztató tábla ",ALAPADATOK!A7," ",ALAPADATOK!B7," ",ALAPADATOK!C7," ",ALAPADATOK!D7," ",ALAPADATOK!E7," ",ALAPADATOK!F7," ",ALAPADATOK!G7," ",ALAPADATOK!H7)</f>
        <v>1. tájékoztató tábla a 2 / 2020 ( II. 21. ) önkormányzati rendelethez</v>
      </c>
    </row>
    <row r="2" spans="1:5" ht="15.75">
      <c r="A2" s="813" t="str">
        <f>CONCATENATE(ALAPADATOK!A3)</f>
        <v>BALATONGYÖRÖK KÖZSÉG ÖNKORMÁNYZATA</v>
      </c>
      <c r="B2" s="813"/>
      <c r="C2" s="814"/>
      <c r="D2" s="813"/>
      <c r="E2" s="813"/>
    </row>
    <row r="3" spans="1:5" ht="15.75">
      <c r="A3" s="813" t="str">
        <f>CONCATENATE("Tájékoztató a ",ALAPADATOK!D7-2,". évi tény, ",ALAPADATOK!D7-1,". évi várható és ",ALAPADATOK!D7,". évi terv adatokról")</f>
        <v>Tájékoztató a 2018. évi tény, 2019. évi várható és 2020. évi terv adatokról</v>
      </c>
      <c r="B3" s="813"/>
      <c r="C3" s="814"/>
      <c r="D3" s="813"/>
      <c r="E3" s="813"/>
    </row>
    <row r="4" spans="1:5" ht="15.75" customHeight="1">
      <c r="A4" s="752" t="s">
        <v>15</v>
      </c>
      <c r="B4" s="752"/>
      <c r="C4" s="752"/>
      <c r="D4" s="752"/>
      <c r="E4" s="752"/>
    </row>
    <row r="5" spans="1:5" ht="15.75" customHeight="1" thickBot="1">
      <c r="A5" s="753" t="s">
        <v>149</v>
      </c>
      <c r="B5" s="753"/>
      <c r="C5" s="599"/>
      <c r="D5" s="626"/>
      <c r="E5" s="635" t="str">
        <f>'KV_10.sz.mell'!G11</f>
        <v>Forintban!</v>
      </c>
    </row>
    <row r="6" spans="1:5" ht="30.75" customHeight="1" thickBot="1">
      <c r="A6" s="600" t="s">
        <v>69</v>
      </c>
      <c r="B6" s="601" t="s">
        <v>17</v>
      </c>
      <c r="C6" s="601" t="str">
        <f>+CONCATENATE(LEFT(KV_ÖSSZEFÜGGÉSEK!A5,4)-2,". évi tény")</f>
        <v>2018. évi tény</v>
      </c>
      <c r="D6" s="636" t="str">
        <f>+CONCATENATE(LEFT(KV_ÖSSZEFÜGGÉSEK!A5,4)-1,". évi várható")</f>
        <v>2019. évi várható</v>
      </c>
      <c r="E6" s="637" t="str">
        <f>+'KV_1.1.sz.mell.'!C8</f>
        <v>2020. évi előirányzat</v>
      </c>
    </row>
    <row r="7" spans="1:5" s="39" customFormat="1" ht="12" customHeight="1" thickBot="1">
      <c r="A7" s="32" t="s">
        <v>485</v>
      </c>
      <c r="B7" s="33" t="s">
        <v>486</v>
      </c>
      <c r="C7" s="33" t="s">
        <v>487</v>
      </c>
      <c r="D7" s="33" t="s">
        <v>489</v>
      </c>
      <c r="E7" s="424" t="s">
        <v>488</v>
      </c>
    </row>
    <row r="8" spans="1:5" s="1" customFormat="1" ht="12" customHeight="1" thickBot="1">
      <c r="A8" s="20" t="s">
        <v>18</v>
      </c>
      <c r="B8" s="21" t="s">
        <v>247</v>
      </c>
      <c r="C8" s="374">
        <f>+C9+C10+C11+C12+C13+C14</f>
        <v>91353406</v>
      </c>
      <c r="D8" s="374">
        <f>+D9+D10+D11+D12+D13+D14</f>
        <v>90559370</v>
      </c>
      <c r="E8" s="244">
        <f>+E9+E10+E11+E12+E13+E14</f>
        <v>75625669</v>
      </c>
    </row>
    <row r="9" spans="1:5" s="1" customFormat="1" ht="12" customHeight="1">
      <c r="A9" s="15" t="s">
        <v>97</v>
      </c>
      <c r="B9" s="392" t="s">
        <v>248</v>
      </c>
      <c r="C9" s="376">
        <v>65183834</v>
      </c>
      <c r="D9" s="376">
        <v>69115610</v>
      </c>
      <c r="E9" s="246">
        <v>63205646</v>
      </c>
    </row>
    <row r="10" spans="1:5" s="1" customFormat="1" ht="12" customHeight="1">
      <c r="A10" s="14" t="s">
        <v>98</v>
      </c>
      <c r="B10" s="393" t="s">
        <v>249</v>
      </c>
      <c r="C10" s="375"/>
      <c r="D10" s="375"/>
      <c r="E10" s="245"/>
    </row>
    <row r="11" spans="1:5" s="1" customFormat="1" ht="12" customHeight="1">
      <c r="A11" s="14" t="s">
        <v>99</v>
      </c>
      <c r="B11" s="393" t="s">
        <v>250</v>
      </c>
      <c r="C11" s="375">
        <v>12511240</v>
      </c>
      <c r="D11" s="375">
        <v>10177240</v>
      </c>
      <c r="E11" s="245">
        <v>10620023</v>
      </c>
    </row>
    <row r="12" spans="1:5" s="1" customFormat="1" ht="12" customHeight="1">
      <c r="A12" s="14" t="s">
        <v>100</v>
      </c>
      <c r="B12" s="393" t="s">
        <v>251</v>
      </c>
      <c r="C12" s="375">
        <v>2416800</v>
      </c>
      <c r="D12" s="375">
        <v>2808320</v>
      </c>
      <c r="E12" s="245">
        <v>1800000</v>
      </c>
    </row>
    <row r="13" spans="1:5" s="1" customFormat="1" ht="12" customHeight="1">
      <c r="A13" s="14" t="s">
        <v>145</v>
      </c>
      <c r="B13" s="270" t="s">
        <v>424</v>
      </c>
      <c r="C13" s="375">
        <v>11241532</v>
      </c>
      <c r="D13" s="375">
        <v>8458200</v>
      </c>
      <c r="E13" s="245"/>
    </row>
    <row r="14" spans="1:5" s="1" customFormat="1" ht="12" customHeight="1" thickBot="1">
      <c r="A14" s="16" t="s">
        <v>101</v>
      </c>
      <c r="B14" s="271" t="s">
        <v>425</v>
      </c>
      <c r="C14" s="375"/>
      <c r="D14" s="375"/>
      <c r="E14" s="245"/>
    </row>
    <row r="15" spans="1:5" s="1" customFormat="1" ht="12" customHeight="1" thickBot="1">
      <c r="A15" s="20" t="s">
        <v>19</v>
      </c>
      <c r="B15" s="269" t="s">
        <v>252</v>
      </c>
      <c r="C15" s="374">
        <f>+C16+C17+C18+C19+C20</f>
        <v>7981721</v>
      </c>
      <c r="D15" s="374">
        <f>+D16+D17+D18+D19+D20</f>
        <v>3148607</v>
      </c>
      <c r="E15" s="244">
        <f>+E16+E17+E18+E19+E20</f>
        <v>0</v>
      </c>
    </row>
    <row r="16" spans="1:5" s="1" customFormat="1" ht="12" customHeight="1">
      <c r="A16" s="15" t="s">
        <v>103</v>
      </c>
      <c r="B16" s="392" t="s">
        <v>253</v>
      </c>
      <c r="C16" s="376"/>
      <c r="D16" s="376"/>
      <c r="E16" s="246"/>
    </row>
    <row r="17" spans="1:5" s="1" customFormat="1" ht="12" customHeight="1">
      <c r="A17" s="14" t="s">
        <v>104</v>
      </c>
      <c r="B17" s="393" t="s">
        <v>254</v>
      </c>
      <c r="C17" s="375"/>
      <c r="D17" s="375"/>
      <c r="E17" s="245"/>
    </row>
    <row r="18" spans="1:5" s="1" customFormat="1" ht="12" customHeight="1">
      <c r="A18" s="14" t="s">
        <v>105</v>
      </c>
      <c r="B18" s="393" t="s">
        <v>414</v>
      </c>
      <c r="C18" s="375"/>
      <c r="D18" s="375"/>
      <c r="E18" s="245"/>
    </row>
    <row r="19" spans="1:5" s="1" customFormat="1" ht="12" customHeight="1">
      <c r="A19" s="14" t="s">
        <v>106</v>
      </c>
      <c r="B19" s="393" t="s">
        <v>415</v>
      </c>
      <c r="C19" s="375"/>
      <c r="D19" s="375"/>
      <c r="E19" s="245"/>
    </row>
    <row r="20" spans="1:5" s="1" customFormat="1" ht="12" customHeight="1">
      <c r="A20" s="14" t="s">
        <v>107</v>
      </c>
      <c r="B20" s="393" t="s">
        <v>255</v>
      </c>
      <c r="C20" s="375">
        <v>7981721</v>
      </c>
      <c r="D20" s="375">
        <v>3148607</v>
      </c>
      <c r="E20" s="245"/>
    </row>
    <row r="21" spans="1:5" s="1" customFormat="1" ht="12" customHeight="1" thickBot="1">
      <c r="A21" s="16" t="s">
        <v>116</v>
      </c>
      <c r="B21" s="271" t="s">
        <v>256</v>
      </c>
      <c r="C21" s="377"/>
      <c r="D21" s="377"/>
      <c r="E21" s="247"/>
    </row>
    <row r="22" spans="1:5" s="1" customFormat="1" ht="12" customHeight="1" thickBot="1">
      <c r="A22" s="20" t="s">
        <v>20</v>
      </c>
      <c r="B22" s="21" t="s">
        <v>257</v>
      </c>
      <c r="C22" s="374">
        <f>+C23+C24+C25+C26+C27</f>
        <v>20772187</v>
      </c>
      <c r="D22" s="374">
        <f>+D23+D24+D25+D26+D27</f>
        <v>112899606</v>
      </c>
      <c r="E22" s="244">
        <f>+E23+E24+E25+E26+E27</f>
        <v>150437138</v>
      </c>
    </row>
    <row r="23" spans="1:5" s="1" customFormat="1" ht="12" customHeight="1">
      <c r="A23" s="15" t="s">
        <v>86</v>
      </c>
      <c r="B23" s="392" t="s">
        <v>258</v>
      </c>
      <c r="C23" s="376">
        <v>12740691</v>
      </c>
      <c r="D23" s="376">
        <v>14983406</v>
      </c>
      <c r="E23" s="246">
        <v>2607000</v>
      </c>
    </row>
    <row r="24" spans="1:5" s="1" customFormat="1" ht="12" customHeight="1">
      <c r="A24" s="14" t="s">
        <v>87</v>
      </c>
      <c r="B24" s="393" t="s">
        <v>259</v>
      </c>
      <c r="C24" s="375"/>
      <c r="D24" s="375"/>
      <c r="E24" s="245"/>
    </row>
    <row r="25" spans="1:5" s="1" customFormat="1" ht="12" customHeight="1">
      <c r="A25" s="14" t="s">
        <v>88</v>
      </c>
      <c r="B25" s="393" t="s">
        <v>416</v>
      </c>
      <c r="C25" s="375"/>
      <c r="D25" s="375"/>
      <c r="E25" s="245"/>
    </row>
    <row r="26" spans="1:5" s="1" customFormat="1" ht="12" customHeight="1">
      <c r="A26" s="14" t="s">
        <v>89</v>
      </c>
      <c r="B26" s="393" t="s">
        <v>417</v>
      </c>
      <c r="C26" s="375"/>
      <c r="D26" s="375"/>
      <c r="E26" s="245"/>
    </row>
    <row r="27" spans="1:5" s="1" customFormat="1" ht="12" customHeight="1">
      <c r="A27" s="14" t="s">
        <v>167</v>
      </c>
      <c r="B27" s="393" t="s">
        <v>260</v>
      </c>
      <c r="C27" s="375">
        <v>8031496</v>
      </c>
      <c r="D27" s="375">
        <v>97916200</v>
      </c>
      <c r="E27" s="245">
        <v>147830138</v>
      </c>
    </row>
    <row r="28" spans="1:5" s="1" customFormat="1" ht="12" customHeight="1" thickBot="1">
      <c r="A28" s="16" t="s">
        <v>168</v>
      </c>
      <c r="B28" s="394" t="s">
        <v>261</v>
      </c>
      <c r="C28" s="377"/>
      <c r="D28" s="377"/>
      <c r="E28" s="247">
        <v>64830138</v>
      </c>
    </row>
    <row r="29" spans="1:5" s="1" customFormat="1" ht="12" customHeight="1" thickBot="1">
      <c r="A29" s="20" t="s">
        <v>169</v>
      </c>
      <c r="B29" s="21" t="s">
        <v>262</v>
      </c>
      <c r="C29" s="381">
        <f>SUM(C30:C36)</f>
        <v>148927051</v>
      </c>
      <c r="D29" s="381">
        <f>SUM(D30:D36)</f>
        <v>165888972</v>
      </c>
      <c r="E29" s="423">
        <f>SUM(E30:E36)</f>
        <v>160000000</v>
      </c>
    </row>
    <row r="30" spans="1:5" s="1" customFormat="1" ht="12" customHeight="1">
      <c r="A30" s="15" t="s">
        <v>263</v>
      </c>
      <c r="B30" s="392" t="str">
        <f>'KV_1.1.sz.mell.'!B32</f>
        <v>Építményadó</v>
      </c>
      <c r="C30" s="376">
        <v>78972448</v>
      </c>
      <c r="D30" s="376">
        <v>82110108</v>
      </c>
      <c r="E30" s="275">
        <v>80000000</v>
      </c>
    </row>
    <row r="31" spans="1:5" s="1" customFormat="1" ht="12" customHeight="1">
      <c r="A31" s="14" t="s">
        <v>264</v>
      </c>
      <c r="B31" s="392" t="str">
        <f>'KV_1.1.sz.mell.'!B33</f>
        <v>Telekadó</v>
      </c>
      <c r="C31" s="375">
        <v>11332472</v>
      </c>
      <c r="D31" s="375">
        <v>12147284</v>
      </c>
      <c r="E31" s="276">
        <v>12000000</v>
      </c>
    </row>
    <row r="32" spans="1:5" s="1" customFormat="1" ht="12" customHeight="1">
      <c r="A32" s="14" t="s">
        <v>265</v>
      </c>
      <c r="B32" s="392" t="str">
        <f>'KV_1.1.sz.mell.'!B34</f>
        <v>Iparűzési adó</v>
      </c>
      <c r="C32" s="375">
        <v>22554187</v>
      </c>
      <c r="D32" s="375">
        <v>32310152</v>
      </c>
      <c r="E32" s="276">
        <v>32000000</v>
      </c>
    </row>
    <row r="33" spans="1:5" s="1" customFormat="1" ht="12" customHeight="1">
      <c r="A33" s="14" t="s">
        <v>266</v>
      </c>
      <c r="B33" s="392" t="str">
        <f>'KV_1.1.sz.mell.'!B35</f>
        <v>Idegenforgalmi adó</v>
      </c>
      <c r="C33" s="375">
        <v>28322250</v>
      </c>
      <c r="D33" s="375">
        <v>30777183</v>
      </c>
      <c r="E33" s="276">
        <v>28000000</v>
      </c>
    </row>
    <row r="34" spans="1:5" s="1" customFormat="1" ht="12" customHeight="1">
      <c r="A34" s="14" t="s">
        <v>541</v>
      </c>
      <c r="B34" s="392" t="str">
        <f>'KV_1.1.sz.mell.'!B36</f>
        <v>Gépjárműadó</v>
      </c>
      <c r="C34" s="375">
        <v>4798596</v>
      </c>
      <c r="D34" s="375">
        <v>4751623</v>
      </c>
      <c r="E34" s="276">
        <v>4500000</v>
      </c>
    </row>
    <row r="35" spans="1:5" s="1" customFormat="1" ht="12" customHeight="1">
      <c r="A35" s="14" t="s">
        <v>542</v>
      </c>
      <c r="B35" s="392" t="str">
        <f>'KV_1.1.sz.mell.'!B37</f>
        <v>Települési adó</v>
      </c>
      <c r="C35" s="375">
        <v>2257737</v>
      </c>
      <c r="D35" s="375">
        <v>2712716</v>
      </c>
      <c r="E35" s="276">
        <v>2500000</v>
      </c>
    </row>
    <row r="36" spans="1:5" s="1" customFormat="1" ht="12" customHeight="1" thickBot="1">
      <c r="A36" s="16" t="s">
        <v>543</v>
      </c>
      <c r="B36" s="392" t="str">
        <f>'KV_1.1.sz.mell.'!B38</f>
        <v>Egyéb adó</v>
      </c>
      <c r="C36" s="377">
        <v>689361</v>
      </c>
      <c r="D36" s="377">
        <v>1079906</v>
      </c>
      <c r="E36" s="282">
        <v>1000000</v>
      </c>
    </row>
    <row r="37" spans="1:5" s="1" customFormat="1" ht="12" customHeight="1" thickBot="1">
      <c r="A37" s="20" t="s">
        <v>22</v>
      </c>
      <c r="B37" s="21" t="s">
        <v>426</v>
      </c>
      <c r="C37" s="374">
        <f>SUM(C38:C48)</f>
        <v>143192103</v>
      </c>
      <c r="D37" s="374">
        <f>SUM(D38:D48)</f>
        <v>134302237</v>
      </c>
      <c r="E37" s="244">
        <f>SUM(E38:E48)</f>
        <v>145790828</v>
      </c>
    </row>
    <row r="38" spans="1:5" s="1" customFormat="1" ht="12" customHeight="1">
      <c r="A38" s="15" t="s">
        <v>90</v>
      </c>
      <c r="B38" s="392" t="s">
        <v>270</v>
      </c>
      <c r="C38" s="376"/>
      <c r="D38" s="376"/>
      <c r="E38" s="246"/>
    </row>
    <row r="39" spans="1:5" s="1" customFormat="1" ht="12" customHeight="1">
      <c r="A39" s="14" t="s">
        <v>91</v>
      </c>
      <c r="B39" s="393" t="s">
        <v>271</v>
      </c>
      <c r="C39" s="375">
        <v>107946216</v>
      </c>
      <c r="D39" s="375">
        <v>102470214</v>
      </c>
      <c r="E39" s="245">
        <v>95400000</v>
      </c>
    </row>
    <row r="40" spans="1:5" s="1" customFormat="1" ht="12" customHeight="1">
      <c r="A40" s="14" t="s">
        <v>92</v>
      </c>
      <c r="B40" s="393" t="s">
        <v>272</v>
      </c>
      <c r="C40" s="375">
        <v>4177138</v>
      </c>
      <c r="D40" s="375">
        <v>3770140</v>
      </c>
      <c r="E40" s="245">
        <v>4000000</v>
      </c>
    </row>
    <row r="41" spans="1:5" s="1" customFormat="1" ht="12" customHeight="1">
      <c r="A41" s="14" t="s">
        <v>171</v>
      </c>
      <c r="B41" s="393" t="s">
        <v>273</v>
      </c>
      <c r="C41" s="375">
        <v>299000</v>
      </c>
      <c r="D41" s="375"/>
      <c r="E41" s="245"/>
    </row>
    <row r="42" spans="1:5" s="1" customFormat="1" ht="12" customHeight="1">
      <c r="A42" s="14" t="s">
        <v>172</v>
      </c>
      <c r="B42" s="393" t="s">
        <v>274</v>
      </c>
      <c r="C42" s="375">
        <v>2857591</v>
      </c>
      <c r="D42" s="375">
        <v>3823585</v>
      </c>
      <c r="E42" s="245">
        <v>3800000</v>
      </c>
    </row>
    <row r="43" spans="1:5" s="1" customFormat="1" ht="12" customHeight="1">
      <c r="A43" s="14" t="s">
        <v>173</v>
      </c>
      <c r="B43" s="393" t="s">
        <v>275</v>
      </c>
      <c r="C43" s="375">
        <v>21685488</v>
      </c>
      <c r="D43" s="375">
        <v>23672694</v>
      </c>
      <c r="E43" s="245">
        <v>21821400</v>
      </c>
    </row>
    <row r="44" spans="1:5" s="1" customFormat="1" ht="12" customHeight="1">
      <c r="A44" s="14" t="s">
        <v>174</v>
      </c>
      <c r="B44" s="393" t="s">
        <v>276</v>
      </c>
      <c r="C44" s="375"/>
      <c r="D44" s="375"/>
      <c r="E44" s="245">
        <v>20250000</v>
      </c>
    </row>
    <row r="45" spans="1:5" s="1" customFormat="1" ht="12" customHeight="1">
      <c r="A45" s="14" t="s">
        <v>175</v>
      </c>
      <c r="B45" s="393" t="s">
        <v>547</v>
      </c>
      <c r="C45" s="375"/>
      <c r="D45" s="375"/>
      <c r="E45" s="245"/>
    </row>
    <row r="46" spans="1:5" s="1" customFormat="1" ht="12" customHeight="1">
      <c r="A46" s="14" t="s">
        <v>268</v>
      </c>
      <c r="B46" s="393" t="s">
        <v>278</v>
      </c>
      <c r="C46" s="378">
        <v>7968</v>
      </c>
      <c r="D46" s="378">
        <v>9731</v>
      </c>
      <c r="E46" s="248">
        <v>19428</v>
      </c>
    </row>
    <row r="47" spans="1:5" s="1" customFormat="1" ht="12" customHeight="1">
      <c r="A47" s="16" t="s">
        <v>269</v>
      </c>
      <c r="B47" s="394" t="s">
        <v>428</v>
      </c>
      <c r="C47" s="379"/>
      <c r="D47" s="379"/>
      <c r="E47" s="249"/>
    </row>
    <row r="48" spans="1:5" s="1" customFormat="1" ht="12" customHeight="1" thickBot="1">
      <c r="A48" s="16" t="s">
        <v>427</v>
      </c>
      <c r="B48" s="271" t="s">
        <v>279</v>
      </c>
      <c r="C48" s="379">
        <v>6218702</v>
      </c>
      <c r="D48" s="379">
        <v>555873</v>
      </c>
      <c r="E48" s="249">
        <v>500000</v>
      </c>
    </row>
    <row r="49" spans="1:5" s="1" customFormat="1" ht="12" customHeight="1" thickBot="1">
      <c r="A49" s="20" t="s">
        <v>23</v>
      </c>
      <c r="B49" s="21" t="s">
        <v>280</v>
      </c>
      <c r="C49" s="374">
        <f>SUM(C50:C54)</f>
        <v>6236500</v>
      </c>
      <c r="D49" s="374">
        <f>SUM(D50:D54)</f>
        <v>13627500</v>
      </c>
      <c r="E49" s="244">
        <f>SUM(E50:E54)</f>
        <v>5580000</v>
      </c>
    </row>
    <row r="50" spans="1:5" s="1" customFormat="1" ht="12" customHeight="1">
      <c r="A50" s="15" t="s">
        <v>93</v>
      </c>
      <c r="B50" s="392" t="s">
        <v>284</v>
      </c>
      <c r="C50" s="438"/>
      <c r="D50" s="438"/>
      <c r="E50" s="267"/>
    </row>
    <row r="51" spans="1:5" s="1" customFormat="1" ht="12" customHeight="1">
      <c r="A51" s="14" t="s">
        <v>94</v>
      </c>
      <c r="B51" s="393" t="s">
        <v>285</v>
      </c>
      <c r="C51" s="378">
        <v>1524000</v>
      </c>
      <c r="D51" s="378">
        <v>13627500</v>
      </c>
      <c r="E51" s="248">
        <v>5580000</v>
      </c>
    </row>
    <row r="52" spans="1:5" s="1" customFormat="1" ht="12" customHeight="1">
      <c r="A52" s="14" t="s">
        <v>281</v>
      </c>
      <c r="B52" s="393" t="s">
        <v>286</v>
      </c>
      <c r="C52" s="378"/>
      <c r="D52" s="378"/>
      <c r="E52" s="248"/>
    </row>
    <row r="53" spans="1:5" s="1" customFormat="1" ht="12" customHeight="1">
      <c r="A53" s="14" t="s">
        <v>282</v>
      </c>
      <c r="B53" s="393" t="s">
        <v>287</v>
      </c>
      <c r="C53" s="378"/>
      <c r="D53" s="378"/>
      <c r="E53" s="248"/>
    </row>
    <row r="54" spans="1:5" s="1" customFormat="1" ht="12" customHeight="1" thickBot="1">
      <c r="A54" s="16" t="s">
        <v>283</v>
      </c>
      <c r="B54" s="271" t="s">
        <v>288</v>
      </c>
      <c r="C54" s="379">
        <v>4712500</v>
      </c>
      <c r="D54" s="379"/>
      <c r="E54" s="249"/>
    </row>
    <row r="55" spans="1:5" s="1" customFormat="1" ht="12" customHeight="1" thickBot="1">
      <c r="A55" s="20" t="s">
        <v>176</v>
      </c>
      <c r="B55" s="21" t="s">
        <v>289</v>
      </c>
      <c r="C55" s="374">
        <f>SUM(C56:C58)</f>
        <v>100000</v>
      </c>
      <c r="D55" s="374">
        <f>SUM(D56:D58)</f>
        <v>694348</v>
      </c>
      <c r="E55" s="244">
        <f>SUM(E56:E58)</f>
        <v>0</v>
      </c>
    </row>
    <row r="56" spans="1:5" s="1" customFormat="1" ht="12" customHeight="1">
      <c r="A56" s="15" t="s">
        <v>95</v>
      </c>
      <c r="B56" s="392" t="s">
        <v>290</v>
      </c>
      <c r="C56" s="376"/>
      <c r="D56" s="376"/>
      <c r="E56" s="246"/>
    </row>
    <row r="57" spans="1:5" s="1" customFormat="1" ht="12" customHeight="1">
      <c r="A57" s="14" t="s">
        <v>96</v>
      </c>
      <c r="B57" s="393" t="s">
        <v>418</v>
      </c>
      <c r="C57" s="375"/>
      <c r="D57" s="375">
        <v>394905</v>
      </c>
      <c r="E57" s="245"/>
    </row>
    <row r="58" spans="1:5" s="1" customFormat="1" ht="12" customHeight="1">
      <c r="A58" s="14" t="s">
        <v>293</v>
      </c>
      <c r="B58" s="393" t="s">
        <v>291</v>
      </c>
      <c r="C58" s="375">
        <v>100000</v>
      </c>
      <c r="D58" s="375">
        <v>299443</v>
      </c>
      <c r="E58" s="245"/>
    </row>
    <row r="59" spans="1:5" s="1" customFormat="1" ht="12" customHeight="1" thickBot="1">
      <c r="A59" s="16" t="s">
        <v>294</v>
      </c>
      <c r="B59" s="271" t="s">
        <v>292</v>
      </c>
      <c r="C59" s="377"/>
      <c r="D59" s="377"/>
      <c r="E59" s="247"/>
    </row>
    <row r="60" spans="1:5" s="1" customFormat="1" ht="12" customHeight="1" thickBot="1">
      <c r="A60" s="20" t="s">
        <v>25</v>
      </c>
      <c r="B60" s="269" t="s">
        <v>295</v>
      </c>
      <c r="C60" s="374">
        <f>SUM(C61:C63)</f>
        <v>0</v>
      </c>
      <c r="D60" s="374">
        <f>SUM(D61:D63)</f>
        <v>0</v>
      </c>
      <c r="E60" s="244">
        <f>SUM(E61:E63)</f>
        <v>0</v>
      </c>
    </row>
    <row r="61" spans="1:5" s="1" customFormat="1" ht="12" customHeight="1">
      <c r="A61" s="15" t="s">
        <v>177</v>
      </c>
      <c r="B61" s="392" t="s">
        <v>297</v>
      </c>
      <c r="C61" s="378"/>
      <c r="D61" s="378"/>
      <c r="E61" s="248"/>
    </row>
    <row r="62" spans="1:5" s="1" customFormat="1" ht="12" customHeight="1">
      <c r="A62" s="14" t="s">
        <v>178</v>
      </c>
      <c r="B62" s="393" t="s">
        <v>419</v>
      </c>
      <c r="C62" s="378"/>
      <c r="D62" s="378"/>
      <c r="E62" s="248"/>
    </row>
    <row r="63" spans="1:5" s="1" customFormat="1" ht="12" customHeight="1">
      <c r="A63" s="14" t="s">
        <v>226</v>
      </c>
      <c r="B63" s="393" t="s">
        <v>298</v>
      </c>
      <c r="C63" s="378"/>
      <c r="D63" s="378"/>
      <c r="E63" s="248"/>
    </row>
    <row r="64" spans="1:5" s="1" customFormat="1" ht="12" customHeight="1" thickBot="1">
      <c r="A64" s="16" t="s">
        <v>296</v>
      </c>
      <c r="B64" s="271" t="s">
        <v>299</v>
      </c>
      <c r="C64" s="378"/>
      <c r="D64" s="378"/>
      <c r="E64" s="248"/>
    </row>
    <row r="65" spans="1:5" s="1" customFormat="1" ht="12" customHeight="1" thickBot="1">
      <c r="A65" s="463" t="s">
        <v>468</v>
      </c>
      <c r="B65" s="21" t="s">
        <v>300</v>
      </c>
      <c r="C65" s="381">
        <f>+C8+C15+C22+C29+C37+C49+C55+C60</f>
        <v>418562968</v>
      </c>
      <c r="D65" s="381">
        <f>+D8+D15+D22+D29+D37+D49+D55+D60</f>
        <v>521120640</v>
      </c>
      <c r="E65" s="423">
        <f>+E8+E15+E22+E29+E37+E49+E55+E60</f>
        <v>537433635</v>
      </c>
    </row>
    <row r="66" spans="1:5" s="1" customFormat="1" ht="12" customHeight="1" thickBot="1">
      <c r="A66" s="439" t="s">
        <v>301</v>
      </c>
      <c r="B66" s="269" t="s">
        <v>532</v>
      </c>
      <c r="C66" s="374">
        <f>SUM(C67:C69)</f>
        <v>0</v>
      </c>
      <c r="D66" s="374">
        <f>SUM(D67:D69)</f>
        <v>0</v>
      </c>
      <c r="E66" s="244">
        <f>SUM(E67:E69)</f>
        <v>0</v>
      </c>
    </row>
    <row r="67" spans="1:5" s="1" customFormat="1" ht="12" customHeight="1">
      <c r="A67" s="15" t="s">
        <v>330</v>
      </c>
      <c r="B67" s="392" t="s">
        <v>303</v>
      </c>
      <c r="C67" s="378"/>
      <c r="D67" s="378"/>
      <c r="E67" s="248"/>
    </row>
    <row r="68" spans="1:5" s="1" customFormat="1" ht="12" customHeight="1">
      <c r="A68" s="14" t="s">
        <v>339</v>
      </c>
      <c r="B68" s="393" t="s">
        <v>304</v>
      </c>
      <c r="C68" s="378"/>
      <c r="D68" s="378"/>
      <c r="E68" s="248"/>
    </row>
    <row r="69" spans="1:5" s="1" customFormat="1" ht="12" customHeight="1" thickBot="1">
      <c r="A69" s="16" t="s">
        <v>340</v>
      </c>
      <c r="B69" s="457" t="s">
        <v>453</v>
      </c>
      <c r="C69" s="378"/>
      <c r="D69" s="378"/>
      <c r="E69" s="248"/>
    </row>
    <row r="70" spans="1:5" s="1" customFormat="1" ht="12" customHeight="1" thickBot="1">
      <c r="A70" s="439" t="s">
        <v>306</v>
      </c>
      <c r="B70" s="269" t="s">
        <v>307</v>
      </c>
      <c r="C70" s="374">
        <f>SUM(C71:C74)</f>
        <v>0</v>
      </c>
      <c r="D70" s="374">
        <f>SUM(D71:D74)</f>
        <v>0</v>
      </c>
      <c r="E70" s="244">
        <f>SUM(E71:E74)</f>
        <v>0</v>
      </c>
    </row>
    <row r="71" spans="1:5" s="1" customFormat="1" ht="12" customHeight="1">
      <c r="A71" s="15" t="s">
        <v>146</v>
      </c>
      <c r="B71" s="530" t="s">
        <v>308</v>
      </c>
      <c r="C71" s="378"/>
      <c r="D71" s="378"/>
      <c r="E71" s="248"/>
    </row>
    <row r="72" spans="1:7" s="1" customFormat="1" ht="13.5" customHeight="1">
      <c r="A72" s="14" t="s">
        <v>147</v>
      </c>
      <c r="B72" s="530" t="s">
        <v>558</v>
      </c>
      <c r="C72" s="378"/>
      <c r="D72" s="378"/>
      <c r="E72" s="248"/>
      <c r="G72" s="40"/>
    </row>
    <row r="73" spans="1:5" s="1" customFormat="1" ht="12" customHeight="1">
      <c r="A73" s="14" t="s">
        <v>331</v>
      </c>
      <c r="B73" s="530" t="s">
        <v>309</v>
      </c>
      <c r="C73" s="378"/>
      <c r="D73" s="378"/>
      <c r="E73" s="248"/>
    </row>
    <row r="74" spans="1:5" s="1" customFormat="1" ht="12" customHeight="1" thickBot="1">
      <c r="A74" s="16" t="s">
        <v>332</v>
      </c>
      <c r="B74" s="531" t="s">
        <v>559</v>
      </c>
      <c r="C74" s="378"/>
      <c r="D74" s="378"/>
      <c r="E74" s="248"/>
    </row>
    <row r="75" spans="1:5" s="1" customFormat="1" ht="12" customHeight="1" thickBot="1">
      <c r="A75" s="439" t="s">
        <v>310</v>
      </c>
      <c r="B75" s="269" t="s">
        <v>311</v>
      </c>
      <c r="C75" s="374">
        <f>SUM(C76:C77)</f>
        <v>83089864</v>
      </c>
      <c r="D75" s="374">
        <f>SUM(D76:D77)</f>
        <v>167080424</v>
      </c>
      <c r="E75" s="244">
        <f>SUM(E76:E77)</f>
        <v>272412365</v>
      </c>
    </row>
    <row r="76" spans="1:5" s="1" customFormat="1" ht="12" customHeight="1">
      <c r="A76" s="15" t="s">
        <v>333</v>
      </c>
      <c r="B76" s="392" t="s">
        <v>312</v>
      </c>
      <c r="C76" s="378">
        <v>83089864</v>
      </c>
      <c r="D76" s="378">
        <v>167080424</v>
      </c>
      <c r="E76" s="248">
        <v>272412365</v>
      </c>
    </row>
    <row r="77" spans="1:5" s="1" customFormat="1" ht="12" customHeight="1" thickBot="1">
      <c r="A77" s="16" t="s">
        <v>334</v>
      </c>
      <c r="B77" s="271" t="s">
        <v>313</v>
      </c>
      <c r="C77" s="378"/>
      <c r="D77" s="378"/>
      <c r="E77" s="248"/>
    </row>
    <row r="78" spans="1:5" s="1" customFormat="1" ht="12" customHeight="1" thickBot="1">
      <c r="A78" s="439" t="s">
        <v>314</v>
      </c>
      <c r="B78" s="269" t="s">
        <v>315</v>
      </c>
      <c r="C78" s="374">
        <f>SUM(C79:C81)</f>
        <v>3140576</v>
      </c>
      <c r="D78" s="374">
        <f>SUM(D79:D81)</f>
        <v>3025027</v>
      </c>
      <c r="E78" s="244">
        <f>SUM(E79:E81)</f>
        <v>0</v>
      </c>
    </row>
    <row r="79" spans="1:5" s="1" customFormat="1" ht="12" customHeight="1">
      <c r="A79" s="15" t="s">
        <v>335</v>
      </c>
      <c r="B79" s="392" t="s">
        <v>316</v>
      </c>
      <c r="C79" s="378">
        <v>3140576</v>
      </c>
      <c r="D79" s="378">
        <v>3025027</v>
      </c>
      <c r="E79" s="248"/>
    </row>
    <row r="80" spans="1:5" s="1" customFormat="1" ht="12" customHeight="1">
      <c r="A80" s="14" t="s">
        <v>336</v>
      </c>
      <c r="B80" s="393" t="s">
        <v>317</v>
      </c>
      <c r="C80" s="378"/>
      <c r="D80" s="378"/>
      <c r="E80" s="248"/>
    </row>
    <row r="81" spans="1:5" s="1" customFormat="1" ht="12" customHeight="1" thickBot="1">
      <c r="A81" s="16" t="s">
        <v>337</v>
      </c>
      <c r="B81" s="271" t="s">
        <v>560</v>
      </c>
      <c r="C81" s="378"/>
      <c r="D81" s="378"/>
      <c r="E81" s="248"/>
    </row>
    <row r="82" spans="1:5" s="1" customFormat="1" ht="12" customHeight="1" thickBot="1">
      <c r="A82" s="439" t="s">
        <v>318</v>
      </c>
      <c r="B82" s="269" t="s">
        <v>338</v>
      </c>
      <c r="C82" s="374">
        <f>SUM(C83:C86)</f>
        <v>0</v>
      </c>
      <c r="D82" s="374">
        <f>SUM(D83:D86)</f>
        <v>0</v>
      </c>
      <c r="E82" s="244">
        <f>SUM(E83:E86)</f>
        <v>0</v>
      </c>
    </row>
    <row r="83" spans="1:5" s="1" customFormat="1" ht="12" customHeight="1">
      <c r="A83" s="396" t="s">
        <v>319</v>
      </c>
      <c r="B83" s="392" t="s">
        <v>320</v>
      </c>
      <c r="C83" s="378"/>
      <c r="D83" s="378"/>
      <c r="E83" s="248"/>
    </row>
    <row r="84" spans="1:5" s="1" customFormat="1" ht="12" customHeight="1">
      <c r="A84" s="397" t="s">
        <v>321</v>
      </c>
      <c r="B84" s="393" t="s">
        <v>322</v>
      </c>
      <c r="C84" s="378"/>
      <c r="D84" s="378"/>
      <c r="E84" s="248"/>
    </row>
    <row r="85" spans="1:5" s="1" customFormat="1" ht="12" customHeight="1">
      <c r="A85" s="397" t="s">
        <v>323</v>
      </c>
      <c r="B85" s="393" t="s">
        <v>324</v>
      </c>
      <c r="C85" s="378"/>
      <c r="D85" s="378"/>
      <c r="E85" s="248"/>
    </row>
    <row r="86" spans="1:5" s="1" customFormat="1" ht="12" customHeight="1" thickBot="1">
      <c r="A86" s="398" t="s">
        <v>325</v>
      </c>
      <c r="B86" s="271" t="s">
        <v>326</v>
      </c>
      <c r="C86" s="378"/>
      <c r="D86" s="378"/>
      <c r="E86" s="248"/>
    </row>
    <row r="87" spans="1:5" s="1" customFormat="1" ht="12" customHeight="1" thickBot="1">
      <c r="A87" s="439" t="s">
        <v>327</v>
      </c>
      <c r="B87" s="269" t="s">
        <v>467</v>
      </c>
      <c r="C87" s="441"/>
      <c r="D87" s="441"/>
      <c r="E87" s="442"/>
    </row>
    <row r="88" spans="1:5" s="1" customFormat="1" ht="12" customHeight="1" thickBot="1">
      <c r="A88" s="439" t="s">
        <v>329</v>
      </c>
      <c r="B88" s="269" t="s">
        <v>328</v>
      </c>
      <c r="C88" s="441"/>
      <c r="D88" s="441"/>
      <c r="E88" s="442"/>
    </row>
    <row r="89" spans="1:5" s="1" customFormat="1" ht="12" customHeight="1" thickBot="1">
      <c r="A89" s="439" t="s">
        <v>341</v>
      </c>
      <c r="B89" s="399" t="s">
        <v>470</v>
      </c>
      <c r="C89" s="381">
        <f>+C66+C70+C75+C78+C82+C88+C87</f>
        <v>86230440</v>
      </c>
      <c r="D89" s="381">
        <f>+D66+D70+D75+D78+D82+D88+D87</f>
        <v>170105451</v>
      </c>
      <c r="E89" s="423">
        <f>+E66+E70+E75+E78+E82+E88+E87</f>
        <v>272412365</v>
      </c>
    </row>
    <row r="90" spans="1:5" s="1" customFormat="1" ht="12" customHeight="1" thickBot="1">
      <c r="A90" s="440" t="s">
        <v>469</v>
      </c>
      <c r="B90" s="400" t="s">
        <v>471</v>
      </c>
      <c r="C90" s="381">
        <f>+C65+C89</f>
        <v>504793408</v>
      </c>
      <c r="D90" s="381">
        <f>+D65+D89</f>
        <v>691226091</v>
      </c>
      <c r="E90" s="423">
        <f>+E65+E89</f>
        <v>809846000</v>
      </c>
    </row>
    <row r="91" spans="1:5" s="1" customFormat="1" ht="12" customHeight="1">
      <c r="A91" s="346"/>
      <c r="B91" s="347"/>
      <c r="C91" s="348"/>
      <c r="D91" s="349"/>
      <c r="E91" s="350"/>
    </row>
    <row r="92" spans="1:5" s="1" customFormat="1" ht="12" customHeight="1">
      <c r="A92" s="757" t="s">
        <v>47</v>
      </c>
      <c r="B92" s="757"/>
      <c r="C92" s="757"/>
      <c r="D92" s="757"/>
      <c r="E92" s="757"/>
    </row>
    <row r="93" spans="1:5" s="1" customFormat="1" ht="12" customHeight="1" thickBot="1">
      <c r="A93" s="754" t="s">
        <v>150</v>
      </c>
      <c r="B93" s="754"/>
      <c r="C93" s="361"/>
      <c r="D93" s="134"/>
      <c r="E93" s="284" t="str">
        <f>E5</f>
        <v>Forintban!</v>
      </c>
    </row>
    <row r="94" spans="1:6" s="1" customFormat="1" ht="24" customHeight="1" thickBot="1">
      <c r="A94" s="23" t="s">
        <v>16</v>
      </c>
      <c r="B94" s="24" t="s">
        <v>48</v>
      </c>
      <c r="C94" s="24" t="str">
        <f>+C6</f>
        <v>2018. évi tény</v>
      </c>
      <c r="D94" s="24" t="str">
        <f>+D6</f>
        <v>2019. évi várható</v>
      </c>
      <c r="E94" s="152" t="str">
        <f>+E6</f>
        <v>2020. évi előirányzat</v>
      </c>
      <c r="F94" s="142"/>
    </row>
    <row r="95" spans="1:6" s="1" customFormat="1" ht="12" customHeight="1" thickBot="1">
      <c r="A95" s="32" t="s">
        <v>485</v>
      </c>
      <c r="B95" s="33" t="s">
        <v>486</v>
      </c>
      <c r="C95" s="33" t="s">
        <v>487</v>
      </c>
      <c r="D95" s="33" t="s">
        <v>489</v>
      </c>
      <c r="E95" s="424" t="s">
        <v>488</v>
      </c>
      <c r="F95" s="142"/>
    </row>
    <row r="96" spans="1:6" s="1" customFormat="1" ht="15" customHeight="1" thickBot="1">
      <c r="A96" s="22" t="s">
        <v>18</v>
      </c>
      <c r="B96" s="28" t="s">
        <v>429</v>
      </c>
      <c r="C96" s="373">
        <f>C97+C98+C99+C100+C101+C114</f>
        <v>290975188</v>
      </c>
      <c r="D96" s="373">
        <f>D97+D98+D99+D100+D101+D114</f>
        <v>328550292</v>
      </c>
      <c r="E96" s="466">
        <f>E97+E98+E99+E100+E101+E114</f>
        <v>340900806</v>
      </c>
      <c r="F96" s="142"/>
    </row>
    <row r="97" spans="1:5" s="1" customFormat="1" ht="12.75" customHeight="1">
      <c r="A97" s="17" t="s">
        <v>97</v>
      </c>
      <c r="B97" s="10" t="s">
        <v>49</v>
      </c>
      <c r="C97" s="473">
        <v>70780758</v>
      </c>
      <c r="D97" s="473">
        <v>74695628</v>
      </c>
      <c r="E97" s="467">
        <v>72794405</v>
      </c>
    </row>
    <row r="98" spans="1:5" ht="16.5" customHeight="1">
      <c r="A98" s="14" t="s">
        <v>98</v>
      </c>
      <c r="B98" s="8" t="s">
        <v>179</v>
      </c>
      <c r="C98" s="375">
        <v>15138915</v>
      </c>
      <c r="D98" s="375">
        <v>13919247</v>
      </c>
      <c r="E98" s="245">
        <v>13755075</v>
      </c>
    </row>
    <row r="99" spans="1:5" ht="15.75">
      <c r="A99" s="14" t="s">
        <v>99</v>
      </c>
      <c r="B99" s="8" t="s">
        <v>137</v>
      </c>
      <c r="C99" s="377">
        <v>143952074</v>
      </c>
      <c r="D99" s="377">
        <v>168749019</v>
      </c>
      <c r="E99" s="247">
        <v>164948250</v>
      </c>
    </row>
    <row r="100" spans="1:5" s="39" customFormat="1" ht="12" customHeight="1">
      <c r="A100" s="14" t="s">
        <v>100</v>
      </c>
      <c r="B100" s="11" t="s">
        <v>180</v>
      </c>
      <c r="C100" s="377">
        <v>3045034</v>
      </c>
      <c r="D100" s="377">
        <v>3772700</v>
      </c>
      <c r="E100" s="247">
        <v>300000</v>
      </c>
    </row>
    <row r="101" spans="1:5" ht="12" customHeight="1">
      <c r="A101" s="14" t="s">
        <v>111</v>
      </c>
      <c r="B101" s="19" t="s">
        <v>181</v>
      </c>
      <c r="C101" s="377">
        <v>58058407</v>
      </c>
      <c r="D101" s="377">
        <v>67413698</v>
      </c>
      <c r="E101" s="247">
        <v>78882842</v>
      </c>
    </row>
    <row r="102" spans="1:5" ht="12" customHeight="1">
      <c r="A102" s="14" t="s">
        <v>101</v>
      </c>
      <c r="B102" s="8" t="s">
        <v>434</v>
      </c>
      <c r="C102" s="377">
        <v>55858</v>
      </c>
      <c r="D102" s="377">
        <v>394905</v>
      </c>
      <c r="E102" s="247"/>
    </row>
    <row r="103" spans="1:5" ht="12" customHeight="1">
      <c r="A103" s="14" t="s">
        <v>102</v>
      </c>
      <c r="B103" s="138" t="s">
        <v>433</v>
      </c>
      <c r="C103" s="377"/>
      <c r="D103" s="377"/>
      <c r="E103" s="247"/>
    </row>
    <row r="104" spans="1:5" ht="12" customHeight="1">
      <c r="A104" s="14" t="s">
        <v>112</v>
      </c>
      <c r="B104" s="138" t="s">
        <v>432</v>
      </c>
      <c r="C104" s="377"/>
      <c r="D104" s="377"/>
      <c r="E104" s="247"/>
    </row>
    <row r="105" spans="1:5" ht="12" customHeight="1">
      <c r="A105" s="14" t="s">
        <v>113</v>
      </c>
      <c r="B105" s="136" t="s">
        <v>344</v>
      </c>
      <c r="C105" s="377"/>
      <c r="D105" s="377"/>
      <c r="E105" s="247"/>
    </row>
    <row r="106" spans="1:5" ht="12" customHeight="1">
      <c r="A106" s="14" t="s">
        <v>114</v>
      </c>
      <c r="B106" s="137" t="s">
        <v>345</v>
      </c>
      <c r="C106" s="377"/>
      <c r="D106" s="377"/>
      <c r="E106" s="247"/>
    </row>
    <row r="107" spans="1:5" ht="12" customHeight="1">
      <c r="A107" s="14" t="s">
        <v>115</v>
      </c>
      <c r="B107" s="137" t="s">
        <v>346</v>
      </c>
      <c r="C107" s="377"/>
      <c r="D107" s="377"/>
      <c r="E107" s="247"/>
    </row>
    <row r="108" spans="1:5" ht="12" customHeight="1">
      <c r="A108" s="14" t="s">
        <v>117</v>
      </c>
      <c r="B108" s="136" t="s">
        <v>347</v>
      </c>
      <c r="C108" s="377">
        <v>38452349</v>
      </c>
      <c r="D108" s="377">
        <v>47100593</v>
      </c>
      <c r="E108" s="247">
        <v>58572842</v>
      </c>
    </row>
    <row r="109" spans="1:5" ht="12" customHeight="1">
      <c r="A109" s="14" t="s">
        <v>182</v>
      </c>
      <c r="B109" s="136" t="s">
        <v>348</v>
      </c>
      <c r="C109" s="377"/>
      <c r="D109" s="377"/>
      <c r="E109" s="247"/>
    </row>
    <row r="110" spans="1:5" ht="12" customHeight="1">
      <c r="A110" s="14" t="s">
        <v>342</v>
      </c>
      <c r="B110" s="137" t="s">
        <v>349</v>
      </c>
      <c r="C110" s="377"/>
      <c r="D110" s="377"/>
      <c r="E110" s="247"/>
    </row>
    <row r="111" spans="1:5" ht="12" customHeight="1">
      <c r="A111" s="13" t="s">
        <v>343</v>
      </c>
      <c r="B111" s="138" t="s">
        <v>350</v>
      </c>
      <c r="C111" s="377"/>
      <c r="D111" s="377"/>
      <c r="E111" s="247"/>
    </row>
    <row r="112" spans="1:5" ht="12" customHeight="1">
      <c r="A112" s="14" t="s">
        <v>430</v>
      </c>
      <c r="B112" s="138" t="s">
        <v>351</v>
      </c>
      <c r="C112" s="377"/>
      <c r="D112" s="377"/>
      <c r="E112" s="247"/>
    </row>
    <row r="113" spans="1:5" ht="12" customHeight="1">
      <c r="A113" s="16" t="s">
        <v>431</v>
      </c>
      <c r="B113" s="138" t="s">
        <v>352</v>
      </c>
      <c r="C113" s="377">
        <v>19550200</v>
      </c>
      <c r="D113" s="377">
        <v>19918200</v>
      </c>
      <c r="E113" s="247">
        <v>20310000</v>
      </c>
    </row>
    <row r="114" spans="1:5" ht="12" customHeight="1">
      <c r="A114" s="14" t="s">
        <v>435</v>
      </c>
      <c r="B114" s="11" t="s">
        <v>50</v>
      </c>
      <c r="C114" s="375"/>
      <c r="D114" s="375"/>
      <c r="E114" s="245">
        <v>10220234</v>
      </c>
    </row>
    <row r="115" spans="1:5" ht="12" customHeight="1">
      <c r="A115" s="14" t="s">
        <v>436</v>
      </c>
      <c r="B115" s="8" t="s">
        <v>438</v>
      </c>
      <c r="C115" s="375"/>
      <c r="D115" s="375"/>
      <c r="E115" s="245">
        <v>10220234</v>
      </c>
    </row>
    <row r="116" spans="1:5" ht="12" customHeight="1" thickBot="1">
      <c r="A116" s="18" t="s">
        <v>437</v>
      </c>
      <c r="B116" s="461" t="s">
        <v>439</v>
      </c>
      <c r="C116" s="474"/>
      <c r="D116" s="474"/>
      <c r="E116" s="468"/>
    </row>
    <row r="117" spans="1:5" ht="12" customHeight="1" thickBot="1">
      <c r="A117" s="458" t="s">
        <v>19</v>
      </c>
      <c r="B117" s="459" t="s">
        <v>353</v>
      </c>
      <c r="C117" s="475">
        <f>+C118+C120+C122</f>
        <v>43572118</v>
      </c>
      <c r="D117" s="475">
        <f>+D118+D120+D122</f>
        <v>112122858</v>
      </c>
      <c r="E117" s="469">
        <f>+E118+E120+E122</f>
        <v>465920167</v>
      </c>
    </row>
    <row r="118" spans="1:5" ht="12" customHeight="1">
      <c r="A118" s="15" t="s">
        <v>103</v>
      </c>
      <c r="B118" s="8" t="s">
        <v>225</v>
      </c>
      <c r="C118" s="376">
        <v>17168318</v>
      </c>
      <c r="D118" s="376">
        <v>25452841</v>
      </c>
      <c r="E118" s="246">
        <v>41148000</v>
      </c>
    </row>
    <row r="119" spans="1:5" ht="15.75">
      <c r="A119" s="15" t="s">
        <v>104</v>
      </c>
      <c r="B119" s="12" t="s">
        <v>357</v>
      </c>
      <c r="C119" s="376"/>
      <c r="D119" s="376"/>
      <c r="E119" s="246"/>
    </row>
    <row r="120" spans="1:5" ht="12" customHeight="1">
      <c r="A120" s="15" t="s">
        <v>105</v>
      </c>
      <c r="B120" s="12" t="s">
        <v>183</v>
      </c>
      <c r="C120" s="375">
        <v>26403800</v>
      </c>
      <c r="D120" s="375">
        <v>86670017</v>
      </c>
      <c r="E120" s="245">
        <v>424772167</v>
      </c>
    </row>
    <row r="121" spans="1:5" ht="12" customHeight="1">
      <c r="A121" s="15" t="s">
        <v>106</v>
      </c>
      <c r="B121" s="12" t="s">
        <v>358</v>
      </c>
      <c r="C121" s="375"/>
      <c r="D121" s="375"/>
      <c r="E121" s="245"/>
    </row>
    <row r="122" spans="1:5" ht="12" customHeight="1">
      <c r="A122" s="15" t="s">
        <v>107</v>
      </c>
      <c r="B122" s="271" t="s">
        <v>227</v>
      </c>
      <c r="C122" s="375"/>
      <c r="D122" s="375"/>
      <c r="E122" s="245"/>
    </row>
    <row r="123" spans="1:5" ht="12" customHeight="1">
      <c r="A123" s="15" t="s">
        <v>116</v>
      </c>
      <c r="B123" s="270" t="s">
        <v>420</v>
      </c>
      <c r="C123" s="375"/>
      <c r="D123" s="375"/>
      <c r="E123" s="245"/>
    </row>
    <row r="124" spans="1:5" ht="12" customHeight="1">
      <c r="A124" s="15" t="s">
        <v>118</v>
      </c>
      <c r="B124" s="388" t="s">
        <v>363</v>
      </c>
      <c r="C124" s="375"/>
      <c r="D124" s="375"/>
      <c r="E124" s="245"/>
    </row>
    <row r="125" spans="1:5" ht="12" customHeight="1">
      <c r="A125" s="15" t="s">
        <v>184</v>
      </c>
      <c r="B125" s="137" t="s">
        <v>346</v>
      </c>
      <c r="C125" s="375"/>
      <c r="D125" s="375"/>
      <c r="E125" s="245"/>
    </row>
    <row r="126" spans="1:5" ht="12" customHeight="1">
      <c r="A126" s="15" t="s">
        <v>185</v>
      </c>
      <c r="B126" s="137" t="s">
        <v>362</v>
      </c>
      <c r="C126" s="375"/>
      <c r="D126" s="375"/>
      <c r="E126" s="245"/>
    </row>
    <row r="127" spans="1:5" ht="12" customHeight="1">
      <c r="A127" s="15" t="s">
        <v>186</v>
      </c>
      <c r="B127" s="137" t="s">
        <v>361</v>
      </c>
      <c r="C127" s="375"/>
      <c r="D127" s="375"/>
      <c r="E127" s="245"/>
    </row>
    <row r="128" spans="1:5" ht="12" customHeight="1">
      <c r="A128" s="15" t="s">
        <v>354</v>
      </c>
      <c r="B128" s="137" t="s">
        <v>349</v>
      </c>
      <c r="C128" s="375"/>
      <c r="D128" s="375"/>
      <c r="E128" s="245"/>
    </row>
    <row r="129" spans="1:5" ht="12" customHeight="1">
      <c r="A129" s="15" t="s">
        <v>355</v>
      </c>
      <c r="B129" s="137" t="s">
        <v>360</v>
      </c>
      <c r="C129" s="375"/>
      <c r="D129" s="375"/>
      <c r="E129" s="245"/>
    </row>
    <row r="130" spans="1:5" ht="12" customHeight="1" thickBot="1">
      <c r="A130" s="13" t="s">
        <v>356</v>
      </c>
      <c r="B130" s="137" t="s">
        <v>359</v>
      </c>
      <c r="C130" s="377"/>
      <c r="D130" s="377"/>
      <c r="E130" s="247"/>
    </row>
    <row r="131" spans="1:5" ht="12" customHeight="1" thickBot="1">
      <c r="A131" s="20" t="s">
        <v>20</v>
      </c>
      <c r="B131" s="118" t="s">
        <v>440</v>
      </c>
      <c r="C131" s="374">
        <f>+C96+C117</f>
        <v>334547306</v>
      </c>
      <c r="D131" s="374">
        <f>+D96+D117</f>
        <v>440673150</v>
      </c>
      <c r="E131" s="244">
        <f>+E96+E117</f>
        <v>806820973</v>
      </c>
    </row>
    <row r="132" spans="1:5" ht="12" customHeight="1" thickBot="1">
      <c r="A132" s="20" t="s">
        <v>21</v>
      </c>
      <c r="B132" s="118" t="s">
        <v>441</v>
      </c>
      <c r="C132" s="374">
        <f>+C133+C134+C135</f>
        <v>0</v>
      </c>
      <c r="D132" s="374">
        <f>+D133+D134+D135</f>
        <v>0</v>
      </c>
      <c r="E132" s="244">
        <f>+E133+E134+E135</f>
        <v>0</v>
      </c>
    </row>
    <row r="133" spans="1:5" ht="12" customHeight="1">
      <c r="A133" s="15" t="s">
        <v>263</v>
      </c>
      <c r="B133" s="12" t="s">
        <v>448</v>
      </c>
      <c r="C133" s="375"/>
      <c r="D133" s="375"/>
      <c r="E133" s="245"/>
    </row>
    <row r="134" spans="1:5" ht="12" customHeight="1">
      <c r="A134" s="15" t="s">
        <v>264</v>
      </c>
      <c r="B134" s="12" t="s">
        <v>449</v>
      </c>
      <c r="C134" s="375"/>
      <c r="D134" s="375"/>
      <c r="E134" s="245"/>
    </row>
    <row r="135" spans="1:5" ht="12" customHeight="1" thickBot="1">
      <c r="A135" s="13" t="s">
        <v>265</v>
      </c>
      <c r="B135" s="12" t="s">
        <v>450</v>
      </c>
      <c r="C135" s="375"/>
      <c r="D135" s="375"/>
      <c r="E135" s="245"/>
    </row>
    <row r="136" spans="1:5" ht="12" customHeight="1" thickBot="1">
      <c r="A136" s="20" t="s">
        <v>22</v>
      </c>
      <c r="B136" s="118" t="s">
        <v>442</v>
      </c>
      <c r="C136" s="374">
        <f>SUM(C137:C142)</f>
        <v>0</v>
      </c>
      <c r="D136" s="374">
        <f>SUM(D137:D142)</f>
        <v>0</v>
      </c>
      <c r="E136" s="244">
        <f>SUM(E137:E142)</f>
        <v>0</v>
      </c>
    </row>
    <row r="137" spans="1:5" ht="12" customHeight="1">
      <c r="A137" s="15" t="s">
        <v>90</v>
      </c>
      <c r="B137" s="9" t="s">
        <v>451</v>
      </c>
      <c r="C137" s="375"/>
      <c r="D137" s="375"/>
      <c r="E137" s="245"/>
    </row>
    <row r="138" spans="1:5" ht="12" customHeight="1">
      <c r="A138" s="15" t="s">
        <v>91</v>
      </c>
      <c r="B138" s="9" t="s">
        <v>443</v>
      </c>
      <c r="C138" s="375"/>
      <c r="D138" s="375"/>
      <c r="E138" s="245"/>
    </row>
    <row r="139" spans="1:5" ht="12" customHeight="1">
      <c r="A139" s="15" t="s">
        <v>92</v>
      </c>
      <c r="B139" s="9" t="s">
        <v>444</v>
      </c>
      <c r="C139" s="375"/>
      <c r="D139" s="375"/>
      <c r="E139" s="245"/>
    </row>
    <row r="140" spans="1:5" ht="12" customHeight="1">
      <c r="A140" s="15" t="s">
        <v>171</v>
      </c>
      <c r="B140" s="9" t="s">
        <v>445</v>
      </c>
      <c r="C140" s="375"/>
      <c r="D140" s="375"/>
      <c r="E140" s="245"/>
    </row>
    <row r="141" spans="1:5" ht="12" customHeight="1">
      <c r="A141" s="15" t="s">
        <v>172</v>
      </c>
      <c r="B141" s="9" t="s">
        <v>446</v>
      </c>
      <c r="C141" s="375"/>
      <c r="D141" s="375"/>
      <c r="E141" s="245"/>
    </row>
    <row r="142" spans="1:5" ht="12" customHeight="1" thickBot="1">
      <c r="A142" s="13" t="s">
        <v>173</v>
      </c>
      <c r="B142" s="9" t="s">
        <v>447</v>
      </c>
      <c r="C142" s="375"/>
      <c r="D142" s="375"/>
      <c r="E142" s="245"/>
    </row>
    <row r="143" spans="1:5" ht="12" customHeight="1" thickBot="1">
      <c r="A143" s="20" t="s">
        <v>23</v>
      </c>
      <c r="B143" s="118" t="s">
        <v>455</v>
      </c>
      <c r="C143" s="381">
        <f>+C144+C145+C146+C147</f>
        <v>3165677</v>
      </c>
      <c r="D143" s="381">
        <f>+D144+D145+D146+D147</f>
        <v>3140576</v>
      </c>
      <c r="E143" s="423">
        <f>+E144+E145+E146+E147</f>
        <v>3025027</v>
      </c>
    </row>
    <row r="144" spans="1:5" ht="12" customHeight="1">
      <c r="A144" s="15" t="s">
        <v>93</v>
      </c>
      <c r="B144" s="9" t="s">
        <v>364</v>
      </c>
      <c r="C144" s="375"/>
      <c r="D144" s="375"/>
      <c r="E144" s="245"/>
    </row>
    <row r="145" spans="1:5" ht="12" customHeight="1">
      <c r="A145" s="15" t="s">
        <v>94</v>
      </c>
      <c r="B145" s="9" t="s">
        <v>365</v>
      </c>
      <c r="C145" s="375">
        <v>3165677</v>
      </c>
      <c r="D145" s="375">
        <v>3140576</v>
      </c>
      <c r="E145" s="245">
        <v>3025027</v>
      </c>
    </row>
    <row r="146" spans="1:5" ht="12" customHeight="1">
      <c r="A146" s="15" t="s">
        <v>281</v>
      </c>
      <c r="B146" s="9" t="s">
        <v>456</v>
      </c>
      <c r="C146" s="375"/>
      <c r="D146" s="375"/>
      <c r="E146" s="245"/>
    </row>
    <row r="147" spans="1:5" ht="12" customHeight="1" thickBot="1">
      <c r="A147" s="13" t="s">
        <v>282</v>
      </c>
      <c r="B147" s="7" t="s">
        <v>383</v>
      </c>
      <c r="C147" s="375"/>
      <c r="D147" s="375"/>
      <c r="E147" s="245"/>
    </row>
    <row r="148" spans="1:5" ht="12" customHeight="1" thickBot="1">
      <c r="A148" s="20" t="s">
        <v>24</v>
      </c>
      <c r="B148" s="118" t="s">
        <v>457</v>
      </c>
      <c r="C148" s="476">
        <f>SUM(C149:C153)</f>
        <v>0</v>
      </c>
      <c r="D148" s="476">
        <f>SUM(D149:D153)</f>
        <v>0</v>
      </c>
      <c r="E148" s="470">
        <f>SUM(E149:E153)</f>
        <v>0</v>
      </c>
    </row>
    <row r="149" spans="1:5" ht="12" customHeight="1">
      <c r="A149" s="15" t="s">
        <v>95</v>
      </c>
      <c r="B149" s="9" t="s">
        <v>452</v>
      </c>
      <c r="C149" s="375"/>
      <c r="D149" s="375"/>
      <c r="E149" s="245"/>
    </row>
    <row r="150" spans="1:5" ht="12" customHeight="1">
      <c r="A150" s="15" t="s">
        <v>96</v>
      </c>
      <c r="B150" s="9" t="s">
        <v>459</v>
      </c>
      <c r="C150" s="375"/>
      <c r="D150" s="375"/>
      <c r="E150" s="245"/>
    </row>
    <row r="151" spans="1:5" ht="12" customHeight="1">
      <c r="A151" s="15" t="s">
        <v>293</v>
      </c>
      <c r="B151" s="9" t="s">
        <v>454</v>
      </c>
      <c r="C151" s="375"/>
      <c r="D151" s="375"/>
      <c r="E151" s="245"/>
    </row>
    <row r="152" spans="1:5" ht="12" customHeight="1">
      <c r="A152" s="15" t="s">
        <v>294</v>
      </c>
      <c r="B152" s="9" t="s">
        <v>460</v>
      </c>
      <c r="C152" s="375"/>
      <c r="D152" s="375"/>
      <c r="E152" s="245"/>
    </row>
    <row r="153" spans="1:5" ht="12" customHeight="1" thickBot="1">
      <c r="A153" s="15" t="s">
        <v>458</v>
      </c>
      <c r="B153" s="9" t="s">
        <v>461</v>
      </c>
      <c r="C153" s="375"/>
      <c r="D153" s="375"/>
      <c r="E153" s="245"/>
    </row>
    <row r="154" spans="1:5" ht="12" customHeight="1" thickBot="1">
      <c r="A154" s="20" t="s">
        <v>25</v>
      </c>
      <c r="B154" s="118" t="s">
        <v>462</v>
      </c>
      <c r="C154" s="477"/>
      <c r="D154" s="477"/>
      <c r="E154" s="471"/>
    </row>
    <row r="155" spans="1:5" ht="12" customHeight="1" thickBot="1">
      <c r="A155" s="20" t="s">
        <v>26</v>
      </c>
      <c r="B155" s="118" t="s">
        <v>463</v>
      </c>
      <c r="C155" s="477"/>
      <c r="D155" s="477"/>
      <c r="E155" s="471"/>
    </row>
    <row r="156" spans="1:6" ht="15" customHeight="1" thickBot="1">
      <c r="A156" s="20" t="s">
        <v>27</v>
      </c>
      <c r="B156" s="118" t="s">
        <v>465</v>
      </c>
      <c r="C156" s="478">
        <f>+C132+C136+C143+C148+C154+C155</f>
        <v>3165677</v>
      </c>
      <c r="D156" s="478">
        <f>+D132+D136+D143+D148+D154+D155</f>
        <v>3140576</v>
      </c>
      <c r="E156" s="472">
        <f>+E132+E136+E143+E148+E154+E155</f>
        <v>3025027</v>
      </c>
      <c r="F156" s="119"/>
    </row>
    <row r="157" spans="1:5" s="1" customFormat="1" ht="12.75" customHeight="1" thickBot="1">
      <c r="A157" s="272" t="s">
        <v>28</v>
      </c>
      <c r="B157" s="357" t="s">
        <v>464</v>
      </c>
      <c r="C157" s="478">
        <f>+C131+C156</f>
        <v>337712983</v>
      </c>
      <c r="D157" s="478">
        <f>+D131+D156</f>
        <v>443813726</v>
      </c>
      <c r="E157" s="472">
        <f>+E131+E156</f>
        <v>809846000</v>
      </c>
    </row>
    <row r="158" spans="3:5" ht="15.75">
      <c r="C158" s="360"/>
      <c r="E158" s="620">
        <f>E90-E157</f>
        <v>0</v>
      </c>
    </row>
    <row r="159" ht="15.75">
      <c r="C159" s="360"/>
    </row>
    <row r="160" ht="15.75">
      <c r="C160" s="360"/>
    </row>
    <row r="161" ht="16.5" customHeight="1">
      <c r="C161" s="360"/>
    </row>
    <row r="162" ht="15.75">
      <c r="C162" s="360"/>
    </row>
    <row r="163" ht="15.75">
      <c r="C163" s="360"/>
    </row>
    <row r="164" ht="15.75">
      <c r="C164" s="360"/>
    </row>
    <row r="165" ht="15.75">
      <c r="C165" s="360"/>
    </row>
    <row r="166" ht="15.75">
      <c r="C166" s="360"/>
    </row>
    <row r="167" ht="15.75">
      <c r="C167" s="360"/>
    </row>
    <row r="168" ht="15.75">
      <c r="C168" s="360"/>
    </row>
    <row r="169" ht="15.75">
      <c r="C169" s="360"/>
    </row>
    <row r="170" ht="15.75">
      <c r="C170" s="360"/>
    </row>
  </sheetData>
  <sheetProtection sheet="1"/>
  <mergeCells count="6">
    <mergeCell ref="A4:E4"/>
    <mergeCell ref="A92:E92"/>
    <mergeCell ref="A93:B93"/>
    <mergeCell ref="A5:B5"/>
    <mergeCell ref="A2:E2"/>
    <mergeCell ref="A3:E3"/>
  </mergeCells>
  <printOptions horizontalCentered="1"/>
  <pageMargins left="0.7874015748031497" right="0.7874015748031497" top="0.6692913385826772" bottom="0.4724409448818898" header="0.3937007874015748" footer="0.1968503937007874"/>
  <pageSetup fitToHeight="2" fitToWidth="3" horizontalDpi="600" verticalDpi="600" orientation="portrait" paperSize="9" scale="65" r:id="rId1"/>
  <rowBreaks count="1" manualBreakCount="1">
    <brk id="91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"/>
  <sheetViews>
    <sheetView zoomScale="120" zoomScaleNormal="120" workbookViewId="0" topLeftCell="A1">
      <selection activeCell="B8" sqref="B8"/>
    </sheetView>
  </sheetViews>
  <sheetFormatPr defaultColWidth="9.00390625" defaultRowHeight="12.75"/>
  <cols>
    <col min="1" max="1" width="6.875" style="178" customWidth="1"/>
    <col min="2" max="2" width="42.875" style="54" customWidth="1"/>
    <col min="3" max="8" width="12.875" style="54" customWidth="1"/>
    <col min="9" max="9" width="14.375" style="54" customWidth="1"/>
    <col min="10" max="10" width="4.375" style="54" customWidth="1"/>
    <col min="11" max="16384" width="9.375" style="54" customWidth="1"/>
  </cols>
  <sheetData>
    <row r="1" spans="1:10" ht="27.75" customHeight="1">
      <c r="A1" s="778" t="s">
        <v>4</v>
      </c>
      <c r="B1" s="778"/>
      <c r="C1" s="778"/>
      <c r="D1" s="778"/>
      <c r="E1" s="778"/>
      <c r="F1" s="778"/>
      <c r="G1" s="778"/>
      <c r="H1" s="778"/>
      <c r="I1" s="778"/>
      <c r="J1" s="815" t="str">
        <f>CONCATENATE("2. tájékoztató tábla ",ALAPADATOK!A7," ",ALAPADATOK!B7," ",ALAPADATOK!C7," ",ALAPADATOK!D7," ",ALAPADATOK!E7," ",ALAPADATOK!F7," ",ALAPADATOK!G7," ",ALAPADATOK!H7)</f>
        <v>2. tájékoztató tábla a 2 / 2020 ( II. 21. ) önkormányzati rendelethez</v>
      </c>
    </row>
    <row r="2" spans="9:10" ht="20.25" customHeight="1" thickBot="1">
      <c r="I2" s="451" t="str">
        <f>'KV_1.sz.tájékoztató_t.'!E5</f>
        <v>Forintban!</v>
      </c>
      <c r="J2" s="815"/>
    </row>
    <row r="3" spans="1:10" s="452" customFormat="1" ht="26.25" customHeight="1">
      <c r="A3" s="823" t="s">
        <v>69</v>
      </c>
      <c r="B3" s="818" t="s">
        <v>84</v>
      </c>
      <c r="C3" s="823" t="s">
        <v>85</v>
      </c>
      <c r="D3" s="823" t="str">
        <f>+CONCATENATE(LEFT(KV_ÖSSZEFÜGGÉSEK!A5,4)," előtti kifizetés")</f>
        <v>2020 előtti kifizetés</v>
      </c>
      <c r="E3" s="820" t="s">
        <v>68</v>
      </c>
      <c r="F3" s="821"/>
      <c r="G3" s="821"/>
      <c r="H3" s="822"/>
      <c r="I3" s="818" t="s">
        <v>51</v>
      </c>
      <c r="J3" s="815"/>
    </row>
    <row r="4" spans="1:10" s="453" customFormat="1" ht="32.25" customHeight="1" thickBot="1">
      <c r="A4" s="824"/>
      <c r="B4" s="819"/>
      <c r="C4" s="819"/>
      <c r="D4" s="824"/>
      <c r="E4" s="250" t="str">
        <f>+CONCATENATE(LEFT(KV_ÖSSZEFÜGGÉSEK!A5,4),".")</f>
        <v>2020.</v>
      </c>
      <c r="F4" s="250" t="str">
        <f>+CONCATENATE(LEFT(KV_ÖSSZEFÜGGÉSEK!A5,4)+1,".")</f>
        <v>2021.</v>
      </c>
      <c r="G4" s="250" t="str">
        <f>+CONCATENATE(LEFT(KV_ÖSSZEFÜGGÉSEK!A5,4)+2,".")</f>
        <v>2022.</v>
      </c>
      <c r="H4" s="251" t="str">
        <f>+CONCATENATE(LEFT(KV_ÖSSZEFÜGGÉSEK!A5,4)+2,".",CHAR(10)," után")</f>
        <v>2022.
 után</v>
      </c>
      <c r="I4" s="819"/>
      <c r="J4" s="815"/>
    </row>
    <row r="5" spans="1:10" s="454" customFormat="1" ht="12.75" customHeight="1" thickBot="1">
      <c r="A5" s="252" t="s">
        <v>485</v>
      </c>
      <c r="B5" s="253" t="s">
        <v>486</v>
      </c>
      <c r="C5" s="254" t="s">
        <v>487</v>
      </c>
      <c r="D5" s="253" t="s">
        <v>489</v>
      </c>
      <c r="E5" s="252" t="s">
        <v>488</v>
      </c>
      <c r="F5" s="254" t="s">
        <v>490</v>
      </c>
      <c r="G5" s="254" t="s">
        <v>491</v>
      </c>
      <c r="H5" s="255" t="s">
        <v>492</v>
      </c>
      <c r="I5" s="256" t="s">
        <v>493</v>
      </c>
      <c r="J5" s="815"/>
    </row>
    <row r="6" spans="1:10" ht="24.75" customHeight="1" thickBot="1">
      <c r="A6" s="257" t="s">
        <v>18</v>
      </c>
      <c r="B6" s="258" t="s">
        <v>5</v>
      </c>
      <c r="C6" s="503"/>
      <c r="D6" s="504"/>
      <c r="E6" s="505"/>
      <c r="F6" s="506"/>
      <c r="G6" s="506"/>
      <c r="H6" s="507"/>
      <c r="I6" s="69"/>
      <c r="J6" s="815"/>
    </row>
    <row r="7" spans="1:10" ht="25.5" customHeight="1" thickBot="1">
      <c r="A7" s="257" t="s">
        <v>19</v>
      </c>
      <c r="B7" s="258" t="s">
        <v>6</v>
      </c>
      <c r="C7" s="503"/>
      <c r="D7" s="504"/>
      <c r="E7" s="726"/>
      <c r="F7" s="727"/>
      <c r="G7" s="727"/>
      <c r="H7" s="730"/>
      <c r="I7" s="69"/>
      <c r="J7" s="815"/>
    </row>
    <row r="8" spans="1:10" ht="19.5" customHeight="1" thickBot="1">
      <c r="A8" s="257" t="s">
        <v>20</v>
      </c>
      <c r="B8" s="258" t="s">
        <v>202</v>
      </c>
      <c r="C8" s="503"/>
      <c r="D8" s="724">
        <f aca="true" t="shared" si="0" ref="D8:I8">D10+D9+D11</f>
        <v>13153000</v>
      </c>
      <c r="E8" s="505">
        <f t="shared" si="0"/>
        <v>10096500</v>
      </c>
      <c r="F8" s="506">
        <f t="shared" si="0"/>
        <v>0</v>
      </c>
      <c r="G8" s="506">
        <f t="shared" si="0"/>
        <v>0</v>
      </c>
      <c r="H8" s="725">
        <f t="shared" si="0"/>
        <v>0</v>
      </c>
      <c r="I8" s="504">
        <f t="shared" si="0"/>
        <v>23249500</v>
      </c>
      <c r="J8" s="815"/>
    </row>
    <row r="9" spans="1:10" ht="19.5" customHeight="1">
      <c r="A9" s="737" t="s">
        <v>21</v>
      </c>
      <c r="B9" s="735" t="s">
        <v>740</v>
      </c>
      <c r="C9" s="720" t="s">
        <v>741</v>
      </c>
      <c r="D9" s="715">
        <v>6803000</v>
      </c>
      <c r="E9" s="728">
        <v>4508500</v>
      </c>
      <c r="F9" s="729"/>
      <c r="G9" s="729"/>
      <c r="H9" s="731"/>
      <c r="I9" s="708">
        <f>SUM(D9:H9)</f>
        <v>11311500</v>
      </c>
      <c r="J9" s="815"/>
    </row>
    <row r="10" spans="1:10" ht="19.5" customHeight="1">
      <c r="A10" s="738" t="s">
        <v>22</v>
      </c>
      <c r="B10" s="734" t="s">
        <v>742</v>
      </c>
      <c r="C10" s="721" t="s">
        <v>719</v>
      </c>
      <c r="D10" s="508">
        <v>2794000</v>
      </c>
      <c r="E10" s="718">
        <v>2540000</v>
      </c>
      <c r="F10" s="509"/>
      <c r="G10" s="509"/>
      <c r="H10" s="510"/>
      <c r="I10" s="708">
        <f>SUM(D10:H10)</f>
        <v>5334000</v>
      </c>
      <c r="J10" s="815"/>
    </row>
    <row r="11" spans="1:10" ht="19.5" customHeight="1" thickBot="1">
      <c r="A11" s="739" t="s">
        <v>23</v>
      </c>
      <c r="B11" s="736" t="s">
        <v>743</v>
      </c>
      <c r="C11" s="722" t="s">
        <v>719</v>
      </c>
      <c r="D11" s="723">
        <v>3556000</v>
      </c>
      <c r="E11" s="719">
        <v>3048000</v>
      </c>
      <c r="F11" s="716"/>
      <c r="G11" s="716"/>
      <c r="H11" s="717"/>
      <c r="I11" s="708">
        <f>SUM(D11:H11)</f>
        <v>6604000</v>
      </c>
      <c r="J11" s="815"/>
    </row>
    <row r="12" spans="1:10" ht="19.5" customHeight="1" thickBot="1">
      <c r="A12" s="52" t="s">
        <v>24</v>
      </c>
      <c r="B12" s="709" t="s">
        <v>203</v>
      </c>
      <c r="C12" s="710"/>
      <c r="D12" s="711">
        <f>+D13</f>
        <v>0</v>
      </c>
      <c r="E12" s="712">
        <f>+E13</f>
        <v>30147167</v>
      </c>
      <c r="F12" s="713">
        <f>+F13</f>
        <v>56036100</v>
      </c>
      <c r="G12" s="713">
        <f>+G13</f>
        <v>0</v>
      </c>
      <c r="H12" s="714">
        <f>+H13</f>
        <v>0</v>
      </c>
      <c r="I12" s="69">
        <f>SUM(D12:H12)</f>
        <v>86183267</v>
      </c>
      <c r="J12" s="815"/>
    </row>
    <row r="13" spans="1:10" ht="19.5" customHeight="1" thickBot="1">
      <c r="A13" s="259" t="s">
        <v>25</v>
      </c>
      <c r="B13" s="733" t="s">
        <v>728</v>
      </c>
      <c r="C13" s="732" t="s">
        <v>744</v>
      </c>
      <c r="D13" s="511"/>
      <c r="E13" s="512">
        <v>30147167</v>
      </c>
      <c r="F13" s="513">
        <v>56036100</v>
      </c>
      <c r="G13" s="513"/>
      <c r="H13" s="514"/>
      <c r="I13" s="260">
        <f>SUM(D13:H13)</f>
        <v>86183267</v>
      </c>
      <c r="J13" s="815"/>
    </row>
    <row r="14" spans="1:10" ht="19.5" customHeight="1" thickBot="1">
      <c r="A14" s="257" t="s">
        <v>26</v>
      </c>
      <c r="B14" s="261" t="s">
        <v>204</v>
      </c>
      <c r="C14" s="503"/>
      <c r="D14" s="504"/>
      <c r="E14" s="505"/>
      <c r="F14" s="506"/>
      <c r="G14" s="506"/>
      <c r="H14" s="507"/>
      <c r="I14" s="69"/>
      <c r="J14" s="815"/>
    </row>
    <row r="15" spans="1:10" ht="19.5" customHeight="1" thickBot="1">
      <c r="A15" s="816" t="s">
        <v>143</v>
      </c>
      <c r="B15" s="817"/>
      <c r="C15" s="515"/>
      <c r="D15" s="504">
        <f aca="true" t="shared" si="1" ref="D15:I15">+D6+D7+D8+D12+D14</f>
        <v>13153000</v>
      </c>
      <c r="E15" s="505">
        <f t="shared" si="1"/>
        <v>40243667</v>
      </c>
      <c r="F15" s="506">
        <f t="shared" si="1"/>
        <v>56036100</v>
      </c>
      <c r="G15" s="506">
        <f t="shared" si="1"/>
        <v>0</v>
      </c>
      <c r="H15" s="507">
        <f t="shared" si="1"/>
        <v>0</v>
      </c>
      <c r="I15" s="69">
        <f t="shared" si="1"/>
        <v>109432767</v>
      </c>
      <c r="J15" s="815"/>
    </row>
  </sheetData>
  <sheetProtection/>
  <mergeCells count="9">
    <mergeCell ref="J1:J15"/>
    <mergeCell ref="A1:I1"/>
    <mergeCell ref="A15:B15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3"/>
  <sheetViews>
    <sheetView zoomScale="120" zoomScaleNormal="120" workbookViewId="0" topLeftCell="A7">
      <selection activeCell="C12" sqref="C12"/>
    </sheetView>
  </sheetViews>
  <sheetFormatPr defaultColWidth="9.00390625" defaultRowHeight="12.75"/>
  <cols>
    <col min="1" max="1" width="5.875" style="83" customWidth="1"/>
    <col min="2" max="2" width="54.875" style="3" customWidth="1"/>
    <col min="3" max="4" width="17.625" style="3" customWidth="1"/>
    <col min="5" max="16384" width="9.375" style="3" customWidth="1"/>
  </cols>
  <sheetData>
    <row r="1" ht="14.25" customHeight="1">
      <c r="D1" s="619" t="str">
        <f>CONCATENATE("3. tájékoztató tábla ",ALAPADATOK!A7," ",ALAPADATOK!B7," ",ALAPADATOK!C7," ",ALAPADATOK!D7," ",ALAPADATOK!E7," ",ALAPADATOK!F7," ",ALAPADATOK!G7," ",ALAPADATOK!H7)</f>
        <v>3. tájékoztató tábla a 2 / 2020 ( II. 21. ) önkormányzati rendelethez</v>
      </c>
    </row>
    <row r="3" spans="2:4" ht="31.5" customHeight="1">
      <c r="B3" s="826" t="s">
        <v>7</v>
      </c>
      <c r="C3" s="826"/>
      <c r="D3" s="826"/>
    </row>
    <row r="4" spans="1:4" s="71" customFormat="1" ht="16.5" thickBot="1">
      <c r="A4" s="70"/>
      <c r="B4" s="351"/>
      <c r="D4" s="43" t="str">
        <f>'KV_2.sz.tájékoztató_t.'!I2</f>
        <v>Forintban!</v>
      </c>
    </row>
    <row r="5" spans="1:4" s="73" customFormat="1" ht="48" customHeight="1" thickBot="1">
      <c r="A5" s="72" t="s">
        <v>16</v>
      </c>
      <c r="B5" s="184" t="s">
        <v>17</v>
      </c>
      <c r="C5" s="184" t="s">
        <v>70</v>
      </c>
      <c r="D5" s="185" t="s">
        <v>71</v>
      </c>
    </row>
    <row r="6" spans="1:4" s="73" customFormat="1" ht="13.5" customHeight="1" thickBot="1">
      <c r="A6" s="35" t="s">
        <v>485</v>
      </c>
      <c r="B6" s="187" t="s">
        <v>486</v>
      </c>
      <c r="C6" s="187" t="s">
        <v>487</v>
      </c>
      <c r="D6" s="188" t="s">
        <v>489</v>
      </c>
    </row>
    <row r="7" spans="1:4" ht="18" customHeight="1">
      <c r="A7" s="128" t="s">
        <v>18</v>
      </c>
      <c r="B7" s="189" t="s">
        <v>163</v>
      </c>
      <c r="C7" s="126">
        <v>4826000</v>
      </c>
      <c r="D7" s="74"/>
    </row>
    <row r="8" spans="1:4" ht="18" customHeight="1">
      <c r="A8" s="75" t="s">
        <v>19</v>
      </c>
      <c r="B8" s="190" t="s">
        <v>164</v>
      </c>
      <c r="C8" s="127"/>
      <c r="D8" s="77"/>
    </row>
    <row r="9" spans="1:4" ht="18" customHeight="1">
      <c r="A9" s="75" t="s">
        <v>20</v>
      </c>
      <c r="B9" s="190" t="s">
        <v>119</v>
      </c>
      <c r="C9" s="127"/>
      <c r="D9" s="77"/>
    </row>
    <row r="10" spans="1:4" ht="18" customHeight="1">
      <c r="A10" s="75" t="s">
        <v>21</v>
      </c>
      <c r="B10" s="190" t="s">
        <v>120</v>
      </c>
      <c r="C10" s="127"/>
      <c r="D10" s="77"/>
    </row>
    <row r="11" spans="1:4" ht="18" customHeight="1">
      <c r="A11" s="75" t="s">
        <v>22</v>
      </c>
      <c r="B11" s="190" t="s">
        <v>157</v>
      </c>
      <c r="C11" s="127">
        <v>160200000</v>
      </c>
      <c r="D11" s="77">
        <v>8200000</v>
      </c>
    </row>
    <row r="12" spans="1:4" ht="18" customHeight="1">
      <c r="A12" s="75" t="s">
        <v>23</v>
      </c>
      <c r="B12" s="190" t="s">
        <v>158</v>
      </c>
      <c r="C12" s="127">
        <v>88000000</v>
      </c>
      <c r="D12" s="77">
        <v>8000000</v>
      </c>
    </row>
    <row r="13" spans="1:4" ht="18" customHeight="1">
      <c r="A13" s="75" t="s">
        <v>24</v>
      </c>
      <c r="B13" s="191" t="s">
        <v>159</v>
      </c>
      <c r="C13" s="127">
        <v>12200000</v>
      </c>
      <c r="D13" s="77">
        <v>200000</v>
      </c>
    </row>
    <row r="14" spans="1:4" ht="18" customHeight="1">
      <c r="A14" s="75" t="s">
        <v>26</v>
      </c>
      <c r="B14" s="191" t="s">
        <v>162</v>
      </c>
      <c r="C14" s="127">
        <v>32000000</v>
      </c>
      <c r="D14" s="77"/>
    </row>
    <row r="15" spans="1:4" ht="18" customHeight="1">
      <c r="A15" s="75" t="s">
        <v>27</v>
      </c>
      <c r="B15" s="191" t="s">
        <v>160</v>
      </c>
      <c r="C15" s="127">
        <v>28000000</v>
      </c>
      <c r="D15" s="77"/>
    </row>
    <row r="16" spans="1:4" ht="18" customHeight="1">
      <c r="A16" s="75" t="s">
        <v>28</v>
      </c>
      <c r="B16" s="191" t="s">
        <v>161</v>
      </c>
      <c r="C16" s="127">
        <v>0</v>
      </c>
      <c r="D16" s="77"/>
    </row>
    <row r="17" spans="1:4" ht="22.5" customHeight="1">
      <c r="A17" s="75" t="s">
        <v>29</v>
      </c>
      <c r="B17" s="191"/>
      <c r="C17" s="127"/>
      <c r="D17" s="77"/>
    </row>
    <row r="18" spans="1:4" ht="18" customHeight="1">
      <c r="A18" s="75" t="s">
        <v>30</v>
      </c>
      <c r="B18" s="190" t="s">
        <v>121</v>
      </c>
      <c r="C18" s="127">
        <v>4500000</v>
      </c>
      <c r="D18" s="77"/>
    </row>
    <row r="19" spans="1:4" ht="18" customHeight="1">
      <c r="A19" s="75" t="s">
        <v>31</v>
      </c>
      <c r="B19" s="190" t="s">
        <v>9</v>
      </c>
      <c r="C19" s="127"/>
      <c r="D19" s="77"/>
    </row>
    <row r="20" spans="1:4" ht="18" customHeight="1">
      <c r="A20" s="75" t="s">
        <v>32</v>
      </c>
      <c r="B20" s="190" t="s">
        <v>8</v>
      </c>
      <c r="C20" s="127"/>
      <c r="D20" s="77"/>
    </row>
    <row r="21" spans="1:4" ht="18" customHeight="1">
      <c r="A21" s="75" t="s">
        <v>33</v>
      </c>
      <c r="B21" s="190" t="s">
        <v>122</v>
      </c>
      <c r="C21" s="127"/>
      <c r="D21" s="77"/>
    </row>
    <row r="22" spans="1:4" ht="18" customHeight="1">
      <c r="A22" s="75" t="s">
        <v>34</v>
      </c>
      <c r="B22" s="190" t="s">
        <v>123</v>
      </c>
      <c r="C22" s="127"/>
      <c r="D22" s="77"/>
    </row>
    <row r="23" spans="1:4" ht="18" customHeight="1">
      <c r="A23" s="75" t="s">
        <v>35</v>
      </c>
      <c r="B23" s="117"/>
      <c r="C23" s="76"/>
      <c r="D23" s="77"/>
    </row>
    <row r="24" spans="1:4" ht="18" customHeight="1">
      <c r="A24" s="75" t="s">
        <v>36</v>
      </c>
      <c r="B24" s="78"/>
      <c r="C24" s="76"/>
      <c r="D24" s="77"/>
    </row>
    <row r="25" spans="1:4" ht="18" customHeight="1">
      <c r="A25" s="75" t="s">
        <v>37</v>
      </c>
      <c r="B25" s="78"/>
      <c r="C25" s="76"/>
      <c r="D25" s="77"/>
    </row>
    <row r="26" spans="1:4" ht="18" customHeight="1">
      <c r="A26" s="75" t="s">
        <v>38</v>
      </c>
      <c r="B26" s="78"/>
      <c r="C26" s="76"/>
      <c r="D26" s="77"/>
    </row>
    <row r="27" spans="1:4" ht="18" customHeight="1">
      <c r="A27" s="75" t="s">
        <v>39</v>
      </c>
      <c r="B27" s="78"/>
      <c r="C27" s="76"/>
      <c r="D27" s="77"/>
    </row>
    <row r="28" spans="1:4" ht="18" customHeight="1">
      <c r="A28" s="75" t="s">
        <v>40</v>
      </c>
      <c r="B28" s="78"/>
      <c r="C28" s="76"/>
      <c r="D28" s="77"/>
    </row>
    <row r="29" spans="1:4" ht="18" customHeight="1">
      <c r="A29" s="75" t="s">
        <v>41</v>
      </c>
      <c r="B29" s="78"/>
      <c r="C29" s="76"/>
      <c r="D29" s="77"/>
    </row>
    <row r="30" spans="1:4" ht="18" customHeight="1">
      <c r="A30" s="75" t="s">
        <v>42</v>
      </c>
      <c r="B30" s="78"/>
      <c r="C30" s="76"/>
      <c r="D30" s="77"/>
    </row>
    <row r="31" spans="1:4" ht="18" customHeight="1" thickBot="1">
      <c r="A31" s="129" t="s">
        <v>43</v>
      </c>
      <c r="B31" s="79"/>
      <c r="C31" s="80"/>
      <c r="D31" s="81"/>
    </row>
    <row r="32" spans="1:4" ht="18" customHeight="1" thickBot="1">
      <c r="A32" s="36" t="s">
        <v>44</v>
      </c>
      <c r="B32" s="195" t="s">
        <v>53</v>
      </c>
      <c r="C32" s="196">
        <f>+C7+C8+C9+C10+C11+C18+C19+C20+C21+C22+C23+C24+C25+C26+C27+C28+C29+C30+C31</f>
        <v>169526000</v>
      </c>
      <c r="D32" s="197">
        <f>+D7+D8+D9+D10+D11+D18+D19+D20+D21+D22+D23+D24+D25+D26+D27+D28+D29+D30+D31</f>
        <v>8200000</v>
      </c>
    </row>
    <row r="33" spans="1:4" ht="8.25" customHeight="1">
      <c r="A33" s="82"/>
      <c r="B33" s="825"/>
      <c r="C33" s="825"/>
      <c r="D33" s="825"/>
    </row>
  </sheetData>
  <sheetProtection/>
  <mergeCells count="2">
    <mergeCell ref="B33:D33"/>
    <mergeCell ref="B3:D3"/>
  </mergeCells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Q82"/>
  <sheetViews>
    <sheetView zoomScale="120" zoomScaleNormal="120" workbookViewId="0" topLeftCell="A1">
      <selection activeCell="M15" sqref="M15"/>
    </sheetView>
  </sheetViews>
  <sheetFormatPr defaultColWidth="9.00390625" defaultRowHeight="12.75"/>
  <cols>
    <col min="1" max="1" width="4.875" style="93" customWidth="1"/>
    <col min="2" max="2" width="31.125" style="106" customWidth="1"/>
    <col min="3" max="4" width="9.00390625" style="106" customWidth="1"/>
    <col min="5" max="5" width="9.50390625" style="106" customWidth="1"/>
    <col min="6" max="6" width="8.875" style="106" customWidth="1"/>
    <col min="7" max="7" width="8.625" style="106" customWidth="1"/>
    <col min="8" max="8" width="8.875" style="106" customWidth="1"/>
    <col min="9" max="9" width="8.125" style="106" customWidth="1"/>
    <col min="10" max="14" width="9.50390625" style="106" customWidth="1"/>
    <col min="15" max="15" width="12.625" style="93" customWidth="1"/>
    <col min="16" max="16384" width="9.375" style="106" customWidth="1"/>
  </cols>
  <sheetData>
    <row r="1" spans="13:15" ht="15.75">
      <c r="M1" s="613"/>
      <c r="N1" s="560"/>
      <c r="O1" s="619" t="str">
        <f>CONCATENATE("4. tájékoztató tábla ",ALAPADATOK!A7," ",ALAPADATOK!B7," ",ALAPADATOK!C7," ",ALAPADATOK!D7," ",ALAPADATOK!E7," ",ALAPADATOK!F7," ",ALAPADATOK!G7," ",ALAPADATOK!H7)</f>
        <v>4. tájékoztató tábla a 2 / 2020 ( II. 21. ) önkormányzati rendelethez</v>
      </c>
    </row>
    <row r="2" spans="1:15" ht="31.5" customHeight="1">
      <c r="A2" s="830" t="str">
        <f>+CONCATENATE("Előirányzat-felhasználási terv",CHAR(10),LEFT(KV_ÖSSZEFÜGGÉSEK!A5,4),". évre")</f>
        <v>Előirányzat-felhasználási terv
2020. évre</v>
      </c>
      <c r="B2" s="831"/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</row>
    <row r="3" ht="16.5" thickBot="1">
      <c r="O3" s="4" t="str">
        <f>'KV_3.sz.tájékoztató_t.'!D4</f>
        <v>Forintban!</v>
      </c>
    </row>
    <row r="4" spans="1:15" s="93" customFormat="1" ht="25.5" customHeight="1" thickBot="1">
      <c r="A4" s="90" t="s">
        <v>16</v>
      </c>
      <c r="B4" s="91" t="s">
        <v>61</v>
      </c>
      <c r="C4" s="91" t="s">
        <v>72</v>
      </c>
      <c r="D4" s="91" t="s">
        <v>73</v>
      </c>
      <c r="E4" s="91" t="s">
        <v>74</v>
      </c>
      <c r="F4" s="91" t="s">
        <v>75</v>
      </c>
      <c r="G4" s="91" t="s">
        <v>76</v>
      </c>
      <c r="H4" s="91" t="s">
        <v>77</v>
      </c>
      <c r="I4" s="91" t="s">
        <v>78</v>
      </c>
      <c r="J4" s="91" t="s">
        <v>79</v>
      </c>
      <c r="K4" s="91" t="s">
        <v>80</v>
      </c>
      <c r="L4" s="91" t="s">
        <v>81</v>
      </c>
      <c r="M4" s="91" t="s">
        <v>82</v>
      </c>
      <c r="N4" s="91" t="s">
        <v>83</v>
      </c>
      <c r="O4" s="92" t="s">
        <v>53</v>
      </c>
    </row>
    <row r="5" spans="1:15" s="95" customFormat="1" ht="15" customHeight="1" thickBot="1">
      <c r="A5" s="94" t="s">
        <v>18</v>
      </c>
      <c r="B5" s="827" t="s">
        <v>56</v>
      </c>
      <c r="C5" s="828"/>
      <c r="D5" s="828"/>
      <c r="E5" s="828"/>
      <c r="F5" s="828"/>
      <c r="G5" s="828"/>
      <c r="H5" s="828"/>
      <c r="I5" s="828"/>
      <c r="J5" s="828"/>
      <c r="K5" s="828"/>
      <c r="L5" s="828"/>
      <c r="M5" s="828"/>
      <c r="N5" s="828"/>
      <c r="O5" s="829"/>
    </row>
    <row r="6" spans="1:17" s="95" customFormat="1" ht="22.5">
      <c r="A6" s="96" t="s">
        <v>19</v>
      </c>
      <c r="B6" s="455" t="s">
        <v>367</v>
      </c>
      <c r="C6" s="516">
        <v>6162973</v>
      </c>
      <c r="D6" s="516">
        <v>6162973</v>
      </c>
      <c r="E6" s="516">
        <v>6162973</v>
      </c>
      <c r="F6" s="516">
        <v>6162973</v>
      </c>
      <c r="G6" s="516">
        <v>6162973</v>
      </c>
      <c r="H6" s="516">
        <v>6162973</v>
      </c>
      <c r="I6" s="516">
        <v>6162973</v>
      </c>
      <c r="J6" s="516">
        <v>6162973</v>
      </c>
      <c r="K6" s="516">
        <v>6162973</v>
      </c>
      <c r="L6" s="516">
        <v>6162973</v>
      </c>
      <c r="M6" s="516">
        <v>6962973</v>
      </c>
      <c r="N6" s="516">
        <v>7032966</v>
      </c>
      <c r="O6" s="97">
        <f aca="true" t="shared" si="0" ref="O6:O26">SUM(C6:N6)</f>
        <v>75625669</v>
      </c>
      <c r="Q6" s="617"/>
    </row>
    <row r="7" spans="1:15" s="100" customFormat="1" ht="22.5">
      <c r="A7" s="98" t="s">
        <v>20</v>
      </c>
      <c r="B7" s="264" t="s">
        <v>411</v>
      </c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99">
        <f t="shared" si="0"/>
        <v>0</v>
      </c>
    </row>
    <row r="8" spans="1:15" s="100" customFormat="1" ht="22.5">
      <c r="A8" s="98" t="s">
        <v>21</v>
      </c>
      <c r="B8" s="263" t="s">
        <v>412</v>
      </c>
      <c r="C8" s="518"/>
      <c r="D8" s="518"/>
      <c r="E8" s="518"/>
      <c r="F8" s="518">
        <v>5000000</v>
      </c>
      <c r="G8" s="518"/>
      <c r="H8" s="518">
        <v>8000000</v>
      </c>
      <c r="I8" s="518"/>
      <c r="J8" s="518">
        <v>75000000</v>
      </c>
      <c r="K8" s="518">
        <v>2607000</v>
      </c>
      <c r="L8" s="518">
        <v>34205052</v>
      </c>
      <c r="M8" s="518">
        <v>25625086</v>
      </c>
      <c r="N8" s="518"/>
      <c r="O8" s="101">
        <f t="shared" si="0"/>
        <v>150437138</v>
      </c>
    </row>
    <row r="9" spans="1:15" s="100" customFormat="1" ht="13.5" customHeight="1">
      <c r="A9" s="98" t="s">
        <v>22</v>
      </c>
      <c r="B9" s="262" t="s">
        <v>170</v>
      </c>
      <c r="C9" s="517">
        <v>3500000</v>
      </c>
      <c r="D9" s="517">
        <v>4000000</v>
      </c>
      <c r="E9" s="517">
        <v>45000000</v>
      </c>
      <c r="F9" s="517">
        <v>13000000</v>
      </c>
      <c r="G9" s="517">
        <v>7500000</v>
      </c>
      <c r="H9" s="517">
        <v>5000000</v>
      </c>
      <c r="I9" s="517">
        <v>9000000</v>
      </c>
      <c r="J9" s="517">
        <v>10000000</v>
      </c>
      <c r="K9" s="517">
        <v>47000000</v>
      </c>
      <c r="L9" s="517">
        <v>5000000</v>
      </c>
      <c r="M9" s="517">
        <v>6000000</v>
      </c>
      <c r="N9" s="517">
        <v>5000000</v>
      </c>
      <c r="O9" s="99">
        <f t="shared" si="0"/>
        <v>160000000</v>
      </c>
    </row>
    <row r="10" spans="1:15" s="100" customFormat="1" ht="13.5" customHeight="1">
      <c r="A10" s="98" t="s">
        <v>23</v>
      </c>
      <c r="B10" s="262" t="s">
        <v>413</v>
      </c>
      <c r="C10" s="517">
        <v>200000</v>
      </c>
      <c r="D10" s="517">
        <v>600000</v>
      </c>
      <c r="E10" s="517">
        <v>3000000</v>
      </c>
      <c r="F10" s="517">
        <v>2000000</v>
      </c>
      <c r="G10" s="517">
        <v>2000000</v>
      </c>
      <c r="H10" s="517">
        <v>15000000</v>
      </c>
      <c r="I10" s="517">
        <v>25000000</v>
      </c>
      <c r="J10" s="517">
        <v>40000000</v>
      </c>
      <c r="K10" s="517">
        <v>42000000</v>
      </c>
      <c r="L10" s="517">
        <v>10990828</v>
      </c>
      <c r="M10" s="517">
        <v>2500000</v>
      </c>
      <c r="N10" s="517">
        <v>2500000</v>
      </c>
      <c r="O10" s="99">
        <f t="shared" si="0"/>
        <v>145790828</v>
      </c>
    </row>
    <row r="11" spans="1:15" s="100" customFormat="1" ht="13.5" customHeight="1">
      <c r="A11" s="98" t="s">
        <v>24</v>
      </c>
      <c r="B11" s="262" t="s">
        <v>10</v>
      </c>
      <c r="C11" s="517">
        <v>5580000</v>
      </c>
      <c r="D11" s="517"/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99">
        <f t="shared" si="0"/>
        <v>5580000</v>
      </c>
    </row>
    <row r="12" spans="1:15" s="100" customFormat="1" ht="13.5" customHeight="1">
      <c r="A12" s="98" t="s">
        <v>25</v>
      </c>
      <c r="B12" s="262" t="s">
        <v>369</v>
      </c>
      <c r="C12" s="517"/>
      <c r="D12" s="517"/>
      <c r="E12" s="517"/>
      <c r="F12" s="517"/>
      <c r="G12" s="517"/>
      <c r="H12" s="517"/>
      <c r="I12" s="517"/>
      <c r="J12" s="517"/>
      <c r="K12" s="517"/>
      <c r="L12" s="517"/>
      <c r="M12" s="517"/>
      <c r="N12" s="517"/>
      <c r="O12" s="99">
        <f t="shared" si="0"/>
        <v>0</v>
      </c>
    </row>
    <row r="13" spans="1:15" s="100" customFormat="1" ht="22.5">
      <c r="A13" s="98" t="s">
        <v>26</v>
      </c>
      <c r="B13" s="264" t="s">
        <v>400</v>
      </c>
      <c r="C13" s="517"/>
      <c r="D13" s="517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99">
        <f t="shared" si="0"/>
        <v>0</v>
      </c>
    </row>
    <row r="14" spans="1:15" s="100" customFormat="1" ht="13.5" customHeight="1" thickBot="1">
      <c r="A14" s="98" t="s">
        <v>27</v>
      </c>
      <c r="B14" s="262" t="s">
        <v>11</v>
      </c>
      <c r="C14" s="517">
        <v>247954</v>
      </c>
      <c r="D14" s="517">
        <v>2902927</v>
      </c>
      <c r="E14" s="517"/>
      <c r="F14" s="517">
        <v>35308627</v>
      </c>
      <c r="G14" s="517">
        <v>40633727</v>
      </c>
      <c r="H14" s="517">
        <v>18778277</v>
      </c>
      <c r="I14" s="517">
        <v>6956027</v>
      </c>
      <c r="J14" s="517"/>
      <c r="K14" s="517"/>
      <c r="L14" s="517">
        <v>96924822</v>
      </c>
      <c r="M14" s="517">
        <v>70660004</v>
      </c>
      <c r="N14" s="517"/>
      <c r="O14" s="99">
        <f t="shared" si="0"/>
        <v>272412365</v>
      </c>
    </row>
    <row r="15" spans="1:15" s="95" customFormat="1" ht="15.75" customHeight="1" thickBot="1">
      <c r="A15" s="94" t="s">
        <v>28</v>
      </c>
      <c r="B15" s="37" t="s">
        <v>108</v>
      </c>
      <c r="C15" s="519">
        <f aca="true" t="shared" si="1" ref="C15:N15">SUM(C6:C14)</f>
        <v>15690927</v>
      </c>
      <c r="D15" s="519">
        <f t="shared" si="1"/>
        <v>13665900</v>
      </c>
      <c r="E15" s="519">
        <f t="shared" si="1"/>
        <v>54162973</v>
      </c>
      <c r="F15" s="519">
        <f t="shared" si="1"/>
        <v>61471600</v>
      </c>
      <c r="G15" s="519">
        <f t="shared" si="1"/>
        <v>56296700</v>
      </c>
      <c r="H15" s="519">
        <f t="shared" si="1"/>
        <v>52941250</v>
      </c>
      <c r="I15" s="519">
        <f t="shared" si="1"/>
        <v>47119000</v>
      </c>
      <c r="J15" s="519">
        <f t="shared" si="1"/>
        <v>131162973</v>
      </c>
      <c r="K15" s="519">
        <f t="shared" si="1"/>
        <v>97769973</v>
      </c>
      <c r="L15" s="519">
        <f t="shared" si="1"/>
        <v>153283675</v>
      </c>
      <c r="M15" s="519">
        <f t="shared" si="1"/>
        <v>111748063</v>
      </c>
      <c r="N15" s="519">
        <f t="shared" si="1"/>
        <v>14532966</v>
      </c>
      <c r="O15" s="102">
        <f>SUM(C15:N15)</f>
        <v>809846000</v>
      </c>
    </row>
    <row r="16" spans="1:15" s="95" customFormat="1" ht="15" customHeight="1" thickBot="1">
      <c r="A16" s="94" t="s">
        <v>29</v>
      </c>
      <c r="B16" s="827" t="s">
        <v>57</v>
      </c>
      <c r="C16" s="828"/>
      <c r="D16" s="828"/>
      <c r="E16" s="828"/>
      <c r="F16" s="828"/>
      <c r="G16" s="828"/>
      <c r="H16" s="828"/>
      <c r="I16" s="828"/>
      <c r="J16" s="828"/>
      <c r="K16" s="828"/>
      <c r="L16" s="828"/>
      <c r="M16" s="828"/>
      <c r="N16" s="828"/>
      <c r="O16" s="829"/>
    </row>
    <row r="17" spans="1:15" s="100" customFormat="1" ht="13.5" customHeight="1">
      <c r="A17" s="103" t="s">
        <v>30</v>
      </c>
      <c r="B17" s="265" t="s">
        <v>62</v>
      </c>
      <c r="C17" s="518">
        <v>5194900</v>
      </c>
      <c r="D17" s="518">
        <v>5194900</v>
      </c>
      <c r="E17" s="518">
        <v>5194900</v>
      </c>
      <c r="F17" s="518">
        <v>5194900</v>
      </c>
      <c r="G17" s="518">
        <v>6520000</v>
      </c>
      <c r="H17" s="518">
        <v>6920000</v>
      </c>
      <c r="I17" s="518">
        <v>7590000</v>
      </c>
      <c r="J17" s="518">
        <v>8200000</v>
      </c>
      <c r="K17" s="518">
        <v>7250000</v>
      </c>
      <c r="L17" s="518">
        <v>5200000</v>
      </c>
      <c r="M17" s="518">
        <v>5200000</v>
      </c>
      <c r="N17" s="518">
        <v>5134805</v>
      </c>
      <c r="O17" s="101">
        <f t="shared" si="0"/>
        <v>72794405</v>
      </c>
    </row>
    <row r="18" spans="1:15" s="100" customFormat="1" ht="27" customHeight="1">
      <c r="A18" s="98" t="s">
        <v>31</v>
      </c>
      <c r="B18" s="264" t="s">
        <v>179</v>
      </c>
      <c r="C18" s="517">
        <v>971000</v>
      </c>
      <c r="D18" s="517">
        <v>971000</v>
      </c>
      <c r="E18" s="517">
        <v>971000</v>
      </c>
      <c r="F18" s="517">
        <v>1071000</v>
      </c>
      <c r="G18" s="517">
        <v>1241000</v>
      </c>
      <c r="H18" s="517">
        <v>1311000</v>
      </c>
      <c r="I18" s="517">
        <v>1429000</v>
      </c>
      <c r="J18" s="517">
        <v>1535000</v>
      </c>
      <c r="K18" s="517">
        <v>1270000</v>
      </c>
      <c r="L18" s="517">
        <v>1055075</v>
      </c>
      <c r="M18" s="517">
        <v>970000</v>
      </c>
      <c r="N18" s="517">
        <v>960000</v>
      </c>
      <c r="O18" s="99">
        <f t="shared" si="0"/>
        <v>13755075</v>
      </c>
    </row>
    <row r="19" spans="1:15" s="100" customFormat="1" ht="13.5" customHeight="1">
      <c r="A19" s="98" t="s">
        <v>32</v>
      </c>
      <c r="B19" s="262" t="s">
        <v>137</v>
      </c>
      <c r="C19" s="517">
        <v>6500000</v>
      </c>
      <c r="D19" s="517">
        <v>7500000</v>
      </c>
      <c r="E19" s="517">
        <v>12000000</v>
      </c>
      <c r="F19" s="517">
        <v>16000000</v>
      </c>
      <c r="G19" s="517">
        <v>26000000</v>
      </c>
      <c r="H19" s="517">
        <v>17148250</v>
      </c>
      <c r="I19" s="517">
        <v>16000000</v>
      </c>
      <c r="J19" s="517">
        <v>25000000</v>
      </c>
      <c r="K19" s="517">
        <v>14000000</v>
      </c>
      <c r="L19" s="517">
        <v>12000000</v>
      </c>
      <c r="M19" s="517">
        <v>8000000</v>
      </c>
      <c r="N19" s="517">
        <v>4800000</v>
      </c>
      <c r="O19" s="99">
        <f t="shared" si="0"/>
        <v>164948250</v>
      </c>
    </row>
    <row r="20" spans="1:15" s="100" customFormat="1" ht="13.5" customHeight="1">
      <c r="A20" s="98" t="s">
        <v>33</v>
      </c>
      <c r="B20" s="262" t="s">
        <v>180</v>
      </c>
      <c r="C20" s="517"/>
      <c r="D20" s="517"/>
      <c r="E20" s="517">
        <v>5700</v>
      </c>
      <c r="F20" s="517">
        <v>5700</v>
      </c>
      <c r="G20" s="517">
        <v>35700</v>
      </c>
      <c r="H20" s="517">
        <v>62000</v>
      </c>
      <c r="I20" s="517">
        <v>100000</v>
      </c>
      <c r="J20" s="517">
        <v>31000</v>
      </c>
      <c r="K20" s="517">
        <v>14200</v>
      </c>
      <c r="L20" s="517">
        <v>28600</v>
      </c>
      <c r="M20" s="517">
        <v>5700</v>
      </c>
      <c r="N20" s="517">
        <v>11400</v>
      </c>
      <c r="O20" s="99">
        <f t="shared" si="0"/>
        <v>300000</v>
      </c>
    </row>
    <row r="21" spans="1:15" s="100" customFormat="1" ht="13.5" customHeight="1">
      <c r="A21" s="98" t="s">
        <v>34</v>
      </c>
      <c r="B21" s="262" t="s">
        <v>12</v>
      </c>
      <c r="C21" s="517"/>
      <c r="D21" s="517"/>
      <c r="E21" s="517">
        <v>5500000</v>
      </c>
      <c r="F21" s="517">
        <v>8000000</v>
      </c>
      <c r="G21" s="517">
        <v>5500000</v>
      </c>
      <c r="H21" s="517">
        <v>15000000</v>
      </c>
      <c r="I21" s="517">
        <v>5500000</v>
      </c>
      <c r="J21" s="517">
        <v>5000000</v>
      </c>
      <c r="K21" s="517">
        <v>5000000</v>
      </c>
      <c r="L21" s="517">
        <v>15000000</v>
      </c>
      <c r="M21" s="517">
        <v>8000000</v>
      </c>
      <c r="N21" s="517">
        <v>16603076</v>
      </c>
      <c r="O21" s="99">
        <f t="shared" si="0"/>
        <v>89103076</v>
      </c>
    </row>
    <row r="22" spans="1:15" s="100" customFormat="1" ht="13.5" customHeight="1">
      <c r="A22" s="98" t="s">
        <v>35</v>
      </c>
      <c r="B22" s="262" t="s">
        <v>225</v>
      </c>
      <c r="C22" s="517"/>
      <c r="D22" s="517"/>
      <c r="E22" s="517">
        <v>1000000</v>
      </c>
      <c r="F22" s="517">
        <v>5200000</v>
      </c>
      <c r="G22" s="517">
        <v>1000000</v>
      </c>
      <c r="H22" s="517">
        <v>500000</v>
      </c>
      <c r="I22" s="517">
        <v>500000</v>
      </c>
      <c r="J22" s="517">
        <v>2500000</v>
      </c>
      <c r="K22" s="517">
        <v>5000000</v>
      </c>
      <c r="L22" s="517">
        <v>22000000</v>
      </c>
      <c r="M22" s="517">
        <v>800000</v>
      </c>
      <c r="N22" s="517">
        <v>2648000</v>
      </c>
      <c r="O22" s="99">
        <f t="shared" si="0"/>
        <v>41148000</v>
      </c>
    </row>
    <row r="23" spans="1:15" s="100" customFormat="1" ht="15.75">
      <c r="A23" s="98" t="s">
        <v>36</v>
      </c>
      <c r="B23" s="264" t="s">
        <v>183</v>
      </c>
      <c r="C23" s="517"/>
      <c r="D23" s="517"/>
      <c r="E23" s="517">
        <v>26000000</v>
      </c>
      <c r="F23" s="517">
        <v>26000000</v>
      </c>
      <c r="G23" s="517">
        <v>16000000</v>
      </c>
      <c r="H23" s="517">
        <v>12000000</v>
      </c>
      <c r="I23" s="517">
        <v>16000000</v>
      </c>
      <c r="J23" s="517"/>
      <c r="K23" s="517"/>
      <c r="L23" s="517">
        <v>98000000</v>
      </c>
      <c r="M23" s="517">
        <v>106000000</v>
      </c>
      <c r="N23" s="517">
        <v>124772167</v>
      </c>
      <c r="O23" s="99">
        <f t="shared" si="0"/>
        <v>424772167</v>
      </c>
    </row>
    <row r="24" spans="1:15" s="100" customFormat="1" ht="13.5" customHeight="1">
      <c r="A24" s="98" t="s">
        <v>37</v>
      </c>
      <c r="B24" s="262" t="s">
        <v>227</v>
      </c>
      <c r="C24" s="517"/>
      <c r="D24" s="517"/>
      <c r="E24" s="517"/>
      <c r="F24" s="517"/>
      <c r="G24" s="517"/>
      <c r="H24" s="517"/>
      <c r="I24" s="517"/>
      <c r="J24" s="517"/>
      <c r="K24" s="517"/>
      <c r="L24" s="517"/>
      <c r="M24" s="517"/>
      <c r="N24" s="517"/>
      <c r="O24" s="99">
        <f t="shared" si="0"/>
        <v>0</v>
      </c>
    </row>
    <row r="25" spans="1:15" s="100" customFormat="1" ht="13.5" customHeight="1" thickBot="1">
      <c r="A25" s="98" t="s">
        <v>38</v>
      </c>
      <c r="B25" s="262" t="s">
        <v>13</v>
      </c>
      <c r="C25" s="517">
        <v>3025027</v>
      </c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99">
        <f t="shared" si="0"/>
        <v>3025027</v>
      </c>
    </row>
    <row r="26" spans="1:15" s="95" customFormat="1" ht="15.75" customHeight="1" thickBot="1">
      <c r="A26" s="104" t="s">
        <v>39</v>
      </c>
      <c r="B26" s="37" t="s">
        <v>109</v>
      </c>
      <c r="C26" s="519">
        <f aca="true" t="shared" si="2" ref="C26:N26">SUM(C17:C25)</f>
        <v>15690927</v>
      </c>
      <c r="D26" s="519">
        <f t="shared" si="2"/>
        <v>13665900</v>
      </c>
      <c r="E26" s="519">
        <f t="shared" si="2"/>
        <v>50671600</v>
      </c>
      <c r="F26" s="519">
        <f t="shared" si="2"/>
        <v>61471600</v>
      </c>
      <c r="G26" s="519">
        <f t="shared" si="2"/>
        <v>56296700</v>
      </c>
      <c r="H26" s="519">
        <f t="shared" si="2"/>
        <v>52941250</v>
      </c>
      <c r="I26" s="519">
        <f t="shared" si="2"/>
        <v>47119000</v>
      </c>
      <c r="J26" s="519">
        <f t="shared" si="2"/>
        <v>42266000</v>
      </c>
      <c r="K26" s="519">
        <f t="shared" si="2"/>
        <v>32534200</v>
      </c>
      <c r="L26" s="519">
        <f t="shared" si="2"/>
        <v>153283675</v>
      </c>
      <c r="M26" s="519">
        <f t="shared" si="2"/>
        <v>128975700</v>
      </c>
      <c r="N26" s="519">
        <f t="shared" si="2"/>
        <v>154929448</v>
      </c>
      <c r="O26" s="102">
        <f t="shared" si="0"/>
        <v>809846000</v>
      </c>
    </row>
    <row r="27" spans="1:15" ht="16.5" thickBot="1">
      <c r="A27" s="104" t="s">
        <v>40</v>
      </c>
      <c r="B27" s="266" t="s">
        <v>110</v>
      </c>
      <c r="C27" s="520">
        <f aca="true" t="shared" si="3" ref="C27:O27">C15-C26</f>
        <v>0</v>
      </c>
      <c r="D27" s="520">
        <f t="shared" si="3"/>
        <v>0</v>
      </c>
      <c r="E27" s="520">
        <f t="shared" si="3"/>
        <v>3491373</v>
      </c>
      <c r="F27" s="520">
        <f t="shared" si="3"/>
        <v>0</v>
      </c>
      <c r="G27" s="520">
        <f t="shared" si="3"/>
        <v>0</v>
      </c>
      <c r="H27" s="520">
        <f t="shared" si="3"/>
        <v>0</v>
      </c>
      <c r="I27" s="520">
        <f t="shared" si="3"/>
        <v>0</v>
      </c>
      <c r="J27" s="520">
        <f t="shared" si="3"/>
        <v>88896973</v>
      </c>
      <c r="K27" s="520">
        <f t="shared" si="3"/>
        <v>65235773</v>
      </c>
      <c r="L27" s="520">
        <f t="shared" si="3"/>
        <v>0</v>
      </c>
      <c r="M27" s="520">
        <f t="shared" si="3"/>
        <v>-17227637</v>
      </c>
      <c r="N27" s="520">
        <f t="shared" si="3"/>
        <v>-140396482</v>
      </c>
      <c r="O27" s="105">
        <f t="shared" si="3"/>
        <v>0</v>
      </c>
    </row>
    <row r="28" ht="15.75">
      <c r="A28" s="107"/>
    </row>
    <row r="29" spans="2:15" ht="15.75">
      <c r="B29" s="108"/>
      <c r="C29" s="109"/>
      <c r="D29" s="109"/>
      <c r="O29" s="106"/>
    </row>
    <row r="30" ht="15.75">
      <c r="O30" s="106"/>
    </row>
    <row r="31" ht="15.75">
      <c r="O31" s="106"/>
    </row>
    <row r="32" ht="15.75">
      <c r="O32" s="106"/>
    </row>
    <row r="33" ht="15.75">
      <c r="O33" s="106"/>
    </row>
    <row r="34" ht="15.75">
      <c r="O34" s="106"/>
    </row>
    <row r="35" ht="15.75">
      <c r="O35" s="106"/>
    </row>
    <row r="36" ht="15.75">
      <c r="O36" s="106"/>
    </row>
    <row r="37" ht="15.75">
      <c r="O37" s="106"/>
    </row>
    <row r="38" ht="15.75">
      <c r="O38" s="106"/>
    </row>
    <row r="39" ht="15.75">
      <c r="O39" s="106"/>
    </row>
    <row r="40" ht="15.75">
      <c r="O40" s="106"/>
    </row>
    <row r="41" ht="15.75">
      <c r="O41" s="106"/>
    </row>
    <row r="42" ht="15.75">
      <c r="O42" s="106"/>
    </row>
    <row r="43" ht="15.75">
      <c r="O43" s="106"/>
    </row>
    <row r="44" ht="15.75">
      <c r="O44" s="106"/>
    </row>
    <row r="45" ht="15.75">
      <c r="O45" s="106"/>
    </row>
    <row r="46" ht="15.75">
      <c r="O46" s="106"/>
    </row>
    <row r="47" ht="15.75">
      <c r="O47" s="106"/>
    </row>
    <row r="48" ht="15.75">
      <c r="O48" s="106"/>
    </row>
    <row r="49" ht="15.75">
      <c r="O49" s="106"/>
    </row>
    <row r="50" ht="15.75">
      <c r="O50" s="106"/>
    </row>
    <row r="51" ht="15.75">
      <c r="O51" s="106"/>
    </row>
    <row r="52" ht="15.75">
      <c r="O52" s="106"/>
    </row>
    <row r="53" ht="15.75">
      <c r="O53" s="106"/>
    </row>
    <row r="54" ht="15.75">
      <c r="O54" s="106"/>
    </row>
    <row r="55" ht="15.75">
      <c r="O55" s="106"/>
    </row>
    <row r="56" ht="15.75">
      <c r="O56" s="106"/>
    </row>
    <row r="57" ht="15.75">
      <c r="O57" s="106"/>
    </row>
    <row r="58" ht="15.75">
      <c r="O58" s="106"/>
    </row>
    <row r="59" ht="15.75">
      <c r="O59" s="106"/>
    </row>
    <row r="60" ht="15.75">
      <c r="O60" s="106"/>
    </row>
    <row r="61" ht="15.75">
      <c r="O61" s="106"/>
    </row>
    <row r="62" ht="15.75">
      <c r="O62" s="106"/>
    </row>
    <row r="63" ht="15.75">
      <c r="O63" s="106"/>
    </row>
    <row r="64" ht="15.75">
      <c r="O64" s="106"/>
    </row>
    <row r="65" ht="15.75">
      <c r="O65" s="106"/>
    </row>
    <row r="66" ht="15.75">
      <c r="O66" s="106"/>
    </row>
    <row r="67" ht="15.75">
      <c r="O67" s="106"/>
    </row>
    <row r="68" ht="15.75">
      <c r="O68" s="106"/>
    </row>
    <row r="69" ht="15.75">
      <c r="O69" s="106"/>
    </row>
    <row r="70" ht="15.75">
      <c r="O70" s="106"/>
    </row>
    <row r="71" ht="15.75">
      <c r="O71" s="106"/>
    </row>
    <row r="72" ht="15.75">
      <c r="O72" s="106"/>
    </row>
    <row r="73" ht="15.75">
      <c r="O73" s="106"/>
    </row>
    <row r="74" ht="15.75">
      <c r="O74" s="106"/>
    </row>
    <row r="75" ht="15.75">
      <c r="O75" s="106"/>
    </row>
    <row r="76" ht="15.75">
      <c r="O76" s="106"/>
    </row>
    <row r="77" ht="15.75">
      <c r="O77" s="106"/>
    </row>
    <row r="78" ht="15.75">
      <c r="O78" s="106"/>
    </row>
    <row r="79" ht="15.75">
      <c r="O79" s="106"/>
    </row>
    <row r="80" ht="15.75">
      <c r="O80" s="106"/>
    </row>
    <row r="81" ht="15.75">
      <c r="O81" s="106"/>
    </row>
    <row r="82" ht="15.75">
      <c r="O82" s="106"/>
    </row>
  </sheetData>
  <sheetProtection sheet="1"/>
  <mergeCells count="3">
    <mergeCell ref="B5:O5"/>
    <mergeCell ref="B16:O16"/>
    <mergeCell ref="A2:O2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="120" zoomScaleNormal="120" workbookViewId="0" topLeftCell="A1">
      <selection activeCell="A1" sqref="A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5.75">
      <c r="A2" s="594" t="s">
        <v>148</v>
      </c>
    </row>
    <row r="4" spans="1:2" ht="12.75">
      <c r="A4" s="130"/>
      <c r="B4" s="130"/>
    </row>
    <row r="5" spans="1:2" s="141" customFormat="1" ht="15.75">
      <c r="A5" s="84" t="str">
        <f>CONCATENATE(ALAPADATOK!D7,". évi előirányzat BEVÉTELEK")</f>
        <v>2020. évi előirányzat BEVÉTELEK</v>
      </c>
      <c r="B5" s="140"/>
    </row>
    <row r="6" spans="1:2" ht="12.75">
      <c r="A6" s="130"/>
      <c r="B6" s="130"/>
    </row>
    <row r="7" spans="1:2" ht="12.75">
      <c r="A7" s="130" t="s">
        <v>533</v>
      </c>
      <c r="B7" s="130" t="s">
        <v>479</v>
      </c>
    </row>
    <row r="8" spans="1:2" ht="12.75">
      <c r="A8" s="130" t="s">
        <v>534</v>
      </c>
      <c r="B8" s="130" t="s">
        <v>480</v>
      </c>
    </row>
    <row r="9" spans="1:2" ht="12.75">
      <c r="A9" s="130" t="s">
        <v>535</v>
      </c>
      <c r="B9" s="130" t="s">
        <v>481</v>
      </c>
    </row>
    <row r="10" spans="1:2" ht="12.75">
      <c r="A10" s="130"/>
      <c r="B10" s="130"/>
    </row>
    <row r="11" spans="1:2" ht="12.75">
      <c r="A11" s="130"/>
      <c r="B11" s="130"/>
    </row>
    <row r="12" spans="1:2" s="141" customFormat="1" ht="15.75">
      <c r="A12" s="84" t="str">
        <f>+CONCATENATE(LEFT(A5,4),". évi előirányzat KIADÁSOK")</f>
        <v>2020. évi előirányzat KIADÁSOK</v>
      </c>
      <c r="B12" s="140"/>
    </row>
    <row r="13" spans="1:2" ht="12.75">
      <c r="A13" s="130"/>
      <c r="B13" s="130"/>
    </row>
    <row r="14" spans="1:2" ht="12.75">
      <c r="A14" s="130" t="s">
        <v>536</v>
      </c>
      <c r="B14" s="130" t="s">
        <v>482</v>
      </c>
    </row>
    <row r="15" spans="1:2" ht="12.75">
      <c r="A15" s="130" t="s">
        <v>537</v>
      </c>
      <c r="B15" s="130" t="s">
        <v>483</v>
      </c>
    </row>
    <row r="16" spans="1:2" ht="12.75">
      <c r="A16" s="130" t="s">
        <v>538</v>
      </c>
      <c r="B16" s="130" t="s">
        <v>484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6"/>
  <sheetViews>
    <sheetView zoomScale="120" zoomScaleNormal="120" zoomScalePageLayoutView="120" workbookViewId="0" topLeftCell="A1">
      <selection activeCell="B3" sqref="B3"/>
    </sheetView>
  </sheetViews>
  <sheetFormatPr defaultColWidth="9.00390625" defaultRowHeight="12.75"/>
  <cols>
    <col min="1" max="1" width="13.875" style="46" customWidth="1"/>
    <col min="2" max="2" width="88.625" style="46" customWidth="1"/>
    <col min="3" max="3" width="16.875" style="46" customWidth="1"/>
    <col min="4" max="4" width="4.875" style="641" customWidth="1"/>
    <col min="5" max="16384" width="9.375" style="46" customWidth="1"/>
  </cols>
  <sheetData>
    <row r="1" spans="2:4" ht="47.25" customHeight="1">
      <c r="B1" s="832" t="str">
        <f>+CONCATENATE("A ",LEFT(KV_ÖSSZEFÜGGÉSEK!A5,4),". évi általános működés és ágazati feladatok támogatásának alakulása jogcímenként")</f>
        <v>A 2020. évi általános működés és ágazati feladatok támogatásának alakulása jogcímenként</v>
      </c>
      <c r="C1" s="832"/>
      <c r="D1" s="833" t="str">
        <f>CONCATENATE("5. tájékoztató tábla ",ALAPADATOK!A7," ",ALAPADATOK!B7," ",ALAPADATOK!C7," ",ALAPADATOK!D7," ",ALAPADATOK!E7," ",ALAPADATOK!F7," ",ALAPADATOK!G7," ",ALAPADATOK!H7)</f>
        <v>5. tájékoztató tábla a 2 / 2020 ( II. 21. ) önkormányzati rendelethez</v>
      </c>
    </row>
    <row r="2" spans="2:4" ht="22.5" customHeight="1" thickBot="1">
      <c r="B2" s="353"/>
      <c r="C2" s="638" t="s">
        <v>661</v>
      </c>
      <c r="D2" s="833"/>
    </row>
    <row r="3" spans="1:8" s="47" customFormat="1" ht="62.25" customHeight="1" thickBot="1">
      <c r="A3" s="639" t="s">
        <v>666</v>
      </c>
      <c r="B3" s="268" t="s">
        <v>52</v>
      </c>
      <c r="C3" s="623" t="str">
        <f>+CONCATENATE(LEFT(KV_ÖSSZEFÜGGÉSEK!A5,4),". évi tervezett támogatás összesen")</f>
        <v>2020. évi tervezett támogatás összesen</v>
      </c>
      <c r="D3" s="833"/>
      <c r="H3" s="619"/>
    </row>
    <row r="4" spans="1:4" s="48" customFormat="1" ht="13.5" thickBot="1">
      <c r="A4" s="640" t="s">
        <v>485</v>
      </c>
      <c r="B4" s="176" t="s">
        <v>486</v>
      </c>
      <c r="C4" s="177" t="s">
        <v>487</v>
      </c>
      <c r="D4" s="833"/>
    </row>
    <row r="5" spans="1:4" ht="12.75">
      <c r="A5" s="643"/>
      <c r="B5" s="110" t="s">
        <v>690</v>
      </c>
      <c r="C5" s="383">
        <v>6073200</v>
      </c>
      <c r="D5" s="833"/>
    </row>
    <row r="6" spans="1:4" ht="12.75" customHeight="1">
      <c r="A6" s="644"/>
      <c r="B6" s="111" t="s">
        <v>691</v>
      </c>
      <c r="C6" s="383">
        <v>13568000</v>
      </c>
      <c r="D6" s="833"/>
    </row>
    <row r="7" spans="1:4" ht="12.75">
      <c r="A7" s="644"/>
      <c r="B7" s="111" t="s">
        <v>692</v>
      </c>
      <c r="C7" s="383">
        <v>565662</v>
      </c>
      <c r="D7" s="833"/>
    </row>
    <row r="8" spans="1:4" ht="12.75">
      <c r="A8" s="644"/>
      <c r="B8" s="111" t="s">
        <v>693</v>
      </c>
      <c r="C8" s="383">
        <v>8880240</v>
      </c>
      <c r="D8" s="833"/>
    </row>
    <row r="9" spans="1:4" ht="12.75">
      <c r="A9" s="644"/>
      <c r="B9" s="111" t="s">
        <v>694</v>
      </c>
      <c r="C9" s="383">
        <v>4251294</v>
      </c>
      <c r="D9" s="833"/>
    </row>
    <row r="10" spans="1:4" ht="12.75">
      <c r="A10" s="644"/>
      <c r="B10" s="111" t="s">
        <v>695</v>
      </c>
      <c r="C10" s="383">
        <v>520200</v>
      </c>
      <c r="D10" s="833"/>
    </row>
    <row r="11" spans="1:4" ht="12.75">
      <c r="A11" s="644"/>
      <c r="B11" s="111" t="s">
        <v>696</v>
      </c>
      <c r="C11" s="383">
        <v>28322250</v>
      </c>
      <c r="D11" s="833"/>
    </row>
    <row r="12" spans="1:4" ht="12.75">
      <c r="A12" s="644"/>
      <c r="B12" s="111" t="s">
        <v>700</v>
      </c>
      <c r="C12" s="383">
        <v>1024800</v>
      </c>
      <c r="D12" s="833"/>
    </row>
    <row r="13" spans="1:4" ht="12.75" customHeight="1">
      <c r="A13" s="644"/>
      <c r="B13" s="111" t="s">
        <v>698</v>
      </c>
      <c r="C13" s="383">
        <v>8397783</v>
      </c>
      <c r="D13" s="833"/>
    </row>
    <row r="14" spans="1:4" ht="12.75">
      <c r="A14" s="644"/>
      <c r="B14" s="111" t="s">
        <v>699</v>
      </c>
      <c r="C14" s="383">
        <v>2222240</v>
      </c>
      <c r="D14" s="833"/>
    </row>
    <row r="15" spans="1:4" ht="12.75">
      <c r="A15" s="644"/>
      <c r="B15" s="111" t="s">
        <v>697</v>
      </c>
      <c r="C15" s="383">
        <v>1800000</v>
      </c>
      <c r="D15" s="833"/>
    </row>
    <row r="16" spans="1:4" ht="12.75">
      <c r="A16" s="644"/>
      <c r="B16" s="111"/>
      <c r="C16" s="383"/>
      <c r="D16" s="833"/>
    </row>
    <row r="17" spans="1:4" ht="12.75">
      <c r="A17" s="644"/>
      <c r="B17" s="111"/>
      <c r="C17" s="383"/>
      <c r="D17" s="833"/>
    </row>
    <row r="18" spans="1:4" ht="12.75">
      <c r="A18" s="644"/>
      <c r="B18" s="111"/>
      <c r="C18" s="383"/>
      <c r="D18" s="833"/>
    </row>
    <row r="19" spans="1:4" ht="12.75">
      <c r="A19" s="644"/>
      <c r="B19" s="111"/>
      <c r="C19" s="383"/>
      <c r="D19" s="833"/>
    </row>
    <row r="20" spans="1:4" ht="12.75">
      <c r="A20" s="644"/>
      <c r="B20" s="111"/>
      <c r="C20" s="383"/>
      <c r="D20" s="833"/>
    </row>
    <row r="21" spans="1:4" ht="12.75">
      <c r="A21" s="644"/>
      <c r="B21" s="111"/>
      <c r="C21" s="383"/>
      <c r="D21" s="833"/>
    </row>
    <row r="22" spans="1:4" ht="12.75">
      <c r="A22" s="644"/>
      <c r="B22" s="111"/>
      <c r="C22" s="383"/>
      <c r="D22" s="833"/>
    </row>
    <row r="23" spans="1:4" ht="12.75">
      <c r="A23" s="644"/>
      <c r="B23" s="111"/>
      <c r="C23" s="383"/>
      <c r="D23" s="833"/>
    </row>
    <row r="24" spans="1:4" ht="13.5" thickBot="1">
      <c r="A24" s="645"/>
      <c r="B24" s="112"/>
      <c r="C24" s="383"/>
      <c r="D24" s="833"/>
    </row>
    <row r="25" spans="1:4" s="50" customFormat="1" ht="19.5" customHeight="1" thickBot="1">
      <c r="A25" s="646"/>
      <c r="B25" s="34" t="s">
        <v>53</v>
      </c>
      <c r="C25" s="49">
        <f>SUM(C5:C24)</f>
        <v>75625669</v>
      </c>
      <c r="D25" s="833"/>
    </row>
    <row r="26" spans="1:2" ht="12.75">
      <c r="A26" s="834" t="s">
        <v>667</v>
      </c>
      <c r="B26" s="834"/>
    </row>
  </sheetData>
  <sheetProtection sheet="1"/>
  <mergeCells count="3">
    <mergeCell ref="B1:C1"/>
    <mergeCell ref="D1:D25"/>
    <mergeCell ref="A26:B2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40"/>
  <sheetViews>
    <sheetView zoomScale="120" zoomScaleNormal="120" workbookViewId="0" topLeftCell="A10">
      <selection activeCell="D6" sqref="D6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3:4" ht="15">
      <c r="C1" s="611"/>
      <c r="D1" s="618" t="str">
        <f>CONCATENATE("6. tájékoztató tábla ",ALAPADATOK!A7," ",ALAPADATOK!B7," ",ALAPADATOK!C7," ",ALAPADATOK!D7," ",ALAPADATOK!E7," ",ALAPADATOK!F7," ",ALAPADATOK!G7," ",ALAPADATOK!H7)</f>
        <v>6. tájékoztató tábla a 2 / 2020 ( II. 21. ) önkormányzati rendelethez</v>
      </c>
    </row>
    <row r="2" spans="1:4" ht="45" customHeight="1">
      <c r="A2" s="838" t="str">
        <f>+CONCATENATE("K I M U T A T Á S",CHAR(10),"a ",LEFT(KV_ÖSSZEFÜGGÉSEK!A5,4),". évben céljelleggel juttatott támogatásokról")</f>
        <v>K I M U T A T Á S
a 2020. évben céljelleggel juttatott támogatásokról</v>
      </c>
      <c r="B2" s="838"/>
      <c r="C2" s="838"/>
      <c r="D2" s="838"/>
    </row>
    <row r="3" spans="1:4" ht="17.25" customHeight="1">
      <c r="A3" s="352"/>
      <c r="B3" s="352"/>
      <c r="C3" s="352"/>
      <c r="D3" s="352"/>
    </row>
    <row r="4" spans="1:4" ht="13.5" thickBot="1">
      <c r="A4" s="198"/>
      <c r="B4" s="198"/>
      <c r="C4" s="835" t="str">
        <f>'KV_4.sz.tájékoztató_t.'!O3</f>
        <v>Forintban!</v>
      </c>
      <c r="D4" s="835"/>
    </row>
    <row r="5" spans="1:4" ht="42.75" customHeight="1" thickBot="1">
      <c r="A5" s="354" t="s">
        <v>69</v>
      </c>
      <c r="B5" s="355" t="s">
        <v>124</v>
      </c>
      <c r="C5" s="355" t="s">
        <v>125</v>
      </c>
      <c r="D5" s="356" t="s">
        <v>14</v>
      </c>
    </row>
    <row r="6" spans="1:4" ht="15.75" customHeight="1">
      <c r="A6" s="199" t="s">
        <v>18</v>
      </c>
      <c r="B6" s="29" t="s">
        <v>701</v>
      </c>
      <c r="C6" s="29" t="s">
        <v>702</v>
      </c>
      <c r="D6" s="521">
        <v>12000000</v>
      </c>
    </row>
    <row r="7" spans="1:4" ht="15.75" customHeight="1">
      <c r="A7" s="200" t="s">
        <v>19</v>
      </c>
      <c r="B7" s="30" t="s">
        <v>703</v>
      </c>
      <c r="C7" s="30" t="s">
        <v>702</v>
      </c>
      <c r="D7" s="522">
        <v>400000</v>
      </c>
    </row>
    <row r="8" spans="1:4" ht="15.75" customHeight="1">
      <c r="A8" s="200" t="s">
        <v>20</v>
      </c>
      <c r="B8" s="30" t="s">
        <v>715</v>
      </c>
      <c r="C8" s="30" t="s">
        <v>702</v>
      </c>
      <c r="D8" s="522">
        <v>100000</v>
      </c>
    </row>
    <row r="9" spans="1:4" ht="15.75" customHeight="1">
      <c r="A9" s="200" t="s">
        <v>21</v>
      </c>
      <c r="B9" s="30" t="s">
        <v>704</v>
      </c>
      <c r="C9" s="30" t="s">
        <v>702</v>
      </c>
      <c r="D9" s="522">
        <v>1200000</v>
      </c>
    </row>
    <row r="10" spans="1:4" ht="15.75" customHeight="1">
      <c r="A10" s="200" t="s">
        <v>22</v>
      </c>
      <c r="B10" s="30" t="s">
        <v>705</v>
      </c>
      <c r="C10" s="30" t="s">
        <v>702</v>
      </c>
      <c r="D10" s="522">
        <v>500000</v>
      </c>
    </row>
    <row r="11" spans="1:4" ht="15.75" customHeight="1">
      <c r="A11" s="200" t="s">
        <v>23</v>
      </c>
      <c r="B11" s="30" t="s">
        <v>706</v>
      </c>
      <c r="C11" s="30" t="s">
        <v>702</v>
      </c>
      <c r="D11" s="522">
        <v>700000</v>
      </c>
    </row>
    <row r="12" spans="1:4" ht="15.75" customHeight="1">
      <c r="A12" s="200" t="s">
        <v>24</v>
      </c>
      <c r="B12" s="30" t="s">
        <v>707</v>
      </c>
      <c r="C12" s="30" t="s">
        <v>702</v>
      </c>
      <c r="D12" s="522">
        <v>1200000</v>
      </c>
    </row>
    <row r="13" spans="1:4" ht="15.75" customHeight="1">
      <c r="A13" s="200" t="s">
        <v>25</v>
      </c>
      <c r="B13" s="30" t="s">
        <v>708</v>
      </c>
      <c r="C13" s="30" t="s">
        <v>702</v>
      </c>
      <c r="D13" s="522">
        <v>13605457</v>
      </c>
    </row>
    <row r="14" spans="1:4" ht="15.75" customHeight="1">
      <c r="A14" s="200" t="s">
        <v>26</v>
      </c>
      <c r="B14" s="30" t="s">
        <v>709</v>
      </c>
      <c r="C14" s="30" t="s">
        <v>702</v>
      </c>
      <c r="D14" s="522">
        <v>39490038</v>
      </c>
    </row>
    <row r="15" spans="1:4" ht="15.75" customHeight="1">
      <c r="A15" s="200" t="s">
        <v>27</v>
      </c>
      <c r="B15" s="30" t="s">
        <v>710</v>
      </c>
      <c r="C15" s="30" t="s">
        <v>702</v>
      </c>
      <c r="D15" s="522">
        <v>2200000</v>
      </c>
    </row>
    <row r="16" spans="1:4" ht="15.75" customHeight="1">
      <c r="A16" s="200" t="s">
        <v>28</v>
      </c>
      <c r="B16" s="30" t="s">
        <v>711</v>
      </c>
      <c r="C16" s="30" t="s">
        <v>702</v>
      </c>
      <c r="D16" s="522">
        <v>800000</v>
      </c>
    </row>
    <row r="17" spans="1:4" ht="15.75" customHeight="1">
      <c r="A17" s="200" t="s">
        <v>29</v>
      </c>
      <c r="B17" s="30" t="s">
        <v>712</v>
      </c>
      <c r="C17" s="30" t="s">
        <v>702</v>
      </c>
      <c r="D17" s="522">
        <v>1300000</v>
      </c>
    </row>
    <row r="18" spans="1:4" ht="15.75" customHeight="1">
      <c r="A18" s="200" t="s">
        <v>30</v>
      </c>
      <c r="B18" s="30" t="s">
        <v>713</v>
      </c>
      <c r="C18" s="30" t="s">
        <v>702</v>
      </c>
      <c r="D18" s="522">
        <v>577347</v>
      </c>
    </row>
    <row r="19" spans="1:4" ht="15.75" customHeight="1">
      <c r="A19" s="200" t="s">
        <v>31</v>
      </c>
      <c r="B19" s="30" t="s">
        <v>714</v>
      </c>
      <c r="C19" s="30" t="s">
        <v>702</v>
      </c>
      <c r="D19" s="522">
        <v>500000</v>
      </c>
    </row>
    <row r="20" spans="1:4" ht="15.75" customHeight="1">
      <c r="A20" s="200" t="s">
        <v>32</v>
      </c>
      <c r="B20" s="30" t="s">
        <v>716</v>
      </c>
      <c r="C20" s="30" t="s">
        <v>702</v>
      </c>
      <c r="D20" s="522">
        <v>810000</v>
      </c>
    </row>
    <row r="21" spans="1:4" ht="21.75" customHeight="1">
      <c r="A21" s="200" t="s">
        <v>33</v>
      </c>
      <c r="B21" s="697" t="s">
        <v>717</v>
      </c>
      <c r="C21" s="30" t="s">
        <v>702</v>
      </c>
      <c r="D21" s="522">
        <v>3500000</v>
      </c>
    </row>
    <row r="22" spans="1:4" ht="15.75" customHeight="1">
      <c r="A22" s="200" t="s">
        <v>34</v>
      </c>
      <c r="B22" s="30"/>
      <c r="C22" s="30"/>
      <c r="D22" s="522"/>
    </row>
    <row r="23" spans="1:4" ht="15.75" customHeight="1">
      <c r="A23" s="200" t="s">
        <v>35</v>
      </c>
      <c r="B23" s="30"/>
      <c r="C23" s="30"/>
      <c r="D23" s="522"/>
    </row>
    <row r="24" spans="1:4" ht="15.75" customHeight="1">
      <c r="A24" s="200" t="s">
        <v>36</v>
      </c>
      <c r="B24" s="30"/>
      <c r="C24" s="30"/>
      <c r="D24" s="522"/>
    </row>
    <row r="25" spans="1:4" ht="15.75" customHeight="1">
      <c r="A25" s="200" t="s">
        <v>37</v>
      </c>
      <c r="B25" s="30"/>
      <c r="C25" s="30"/>
      <c r="D25" s="522"/>
    </row>
    <row r="26" spans="1:4" ht="15.75" customHeight="1">
      <c r="A26" s="200" t="s">
        <v>38</v>
      </c>
      <c r="B26" s="30"/>
      <c r="C26" s="30"/>
      <c r="D26" s="522"/>
    </row>
    <row r="27" spans="1:4" ht="15.75" customHeight="1">
      <c r="A27" s="200" t="s">
        <v>39</v>
      </c>
      <c r="B27" s="30"/>
      <c r="C27" s="30"/>
      <c r="D27" s="522"/>
    </row>
    <row r="28" spans="1:4" ht="15.75" customHeight="1">
      <c r="A28" s="200" t="s">
        <v>40</v>
      </c>
      <c r="B28" s="30"/>
      <c r="C28" s="30"/>
      <c r="D28" s="522"/>
    </row>
    <row r="29" spans="1:4" ht="15.75" customHeight="1">
      <c r="A29" s="200" t="s">
        <v>41</v>
      </c>
      <c r="B29" s="30"/>
      <c r="C29" s="30"/>
      <c r="D29" s="522"/>
    </row>
    <row r="30" spans="1:4" ht="15.75" customHeight="1">
      <c r="A30" s="200" t="s">
        <v>42</v>
      </c>
      <c r="B30" s="30"/>
      <c r="C30" s="30"/>
      <c r="D30" s="522"/>
    </row>
    <row r="31" spans="1:4" ht="15.75" customHeight="1">
      <c r="A31" s="200" t="s">
        <v>43</v>
      </c>
      <c r="B31" s="30"/>
      <c r="C31" s="30"/>
      <c r="D31" s="522"/>
    </row>
    <row r="32" spans="1:4" ht="15.75" customHeight="1">
      <c r="A32" s="200" t="s">
        <v>44</v>
      </c>
      <c r="B32" s="30"/>
      <c r="C32" s="30"/>
      <c r="D32" s="522"/>
    </row>
    <row r="33" spans="1:4" ht="15.75" customHeight="1">
      <c r="A33" s="200" t="s">
        <v>45</v>
      </c>
      <c r="B33" s="30"/>
      <c r="C33" s="30"/>
      <c r="D33" s="522"/>
    </row>
    <row r="34" spans="1:4" ht="15.75" customHeight="1">
      <c r="A34" s="200" t="s">
        <v>46</v>
      </c>
      <c r="B34" s="30"/>
      <c r="C34" s="30"/>
      <c r="D34" s="522"/>
    </row>
    <row r="35" spans="1:4" ht="15.75" customHeight="1">
      <c r="A35" s="200" t="s">
        <v>126</v>
      </c>
      <c r="B35" s="30"/>
      <c r="C35" s="30"/>
      <c r="D35" s="523"/>
    </row>
    <row r="36" spans="1:4" ht="15.75" customHeight="1">
      <c r="A36" s="200" t="s">
        <v>127</v>
      </c>
      <c r="B36" s="30"/>
      <c r="C36" s="30"/>
      <c r="D36" s="523"/>
    </row>
    <row r="37" spans="1:4" ht="15.75" customHeight="1">
      <c r="A37" s="200" t="s">
        <v>128</v>
      </c>
      <c r="B37" s="30"/>
      <c r="C37" s="30"/>
      <c r="D37" s="523"/>
    </row>
    <row r="38" spans="1:4" ht="15.75" customHeight="1" thickBot="1">
      <c r="A38" s="201" t="s">
        <v>129</v>
      </c>
      <c r="B38" s="31"/>
      <c r="C38" s="31"/>
      <c r="D38" s="524"/>
    </row>
    <row r="39" spans="1:4" ht="15.75" customHeight="1" thickBot="1">
      <c r="A39" s="836" t="s">
        <v>53</v>
      </c>
      <c r="B39" s="837"/>
      <c r="C39" s="202"/>
      <c r="D39" s="525">
        <f>SUM(D6:D38)</f>
        <v>78882842</v>
      </c>
    </row>
    <row r="40" ht="12.75">
      <c r="A40" t="s">
        <v>197</v>
      </c>
    </row>
  </sheetData>
  <sheetProtection/>
  <mergeCells count="3">
    <mergeCell ref="C4:D4"/>
    <mergeCell ref="A39:B39"/>
    <mergeCell ref="A2:D2"/>
  </mergeCells>
  <conditionalFormatting sqref="D39">
    <cfRule type="cellIs" priority="1" dxfId="7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G51"/>
  <sheetViews>
    <sheetView zoomScale="120" zoomScaleNormal="120" zoomScaleSheetLayoutView="100" workbookViewId="0" topLeftCell="A1">
      <selection activeCell="E35" sqref="E35"/>
    </sheetView>
  </sheetViews>
  <sheetFormatPr defaultColWidth="9.00390625" defaultRowHeight="12.75"/>
  <cols>
    <col min="1" max="1" width="9.00390625" style="358" customWidth="1"/>
    <col min="2" max="2" width="66.375" style="358" bestFit="1" customWidth="1"/>
    <col min="3" max="3" width="15.50390625" style="359" customWidth="1"/>
    <col min="4" max="5" width="15.50390625" style="358" customWidth="1"/>
    <col min="6" max="6" width="9.00390625" style="389" customWidth="1"/>
    <col min="7" max="16384" width="9.375" style="389" customWidth="1"/>
  </cols>
  <sheetData>
    <row r="1" spans="3:5" ht="15.75">
      <c r="C1" s="614"/>
      <c r="D1" s="611"/>
      <c r="E1" s="618" t="str">
        <f>CONCATENATE("7. tájékoztató tábla ",ALAPADATOK!A7," ",ALAPADATOK!B7," ",ALAPADATOK!C7," ",ALAPADATOK!D7," ",ALAPADATOK!E7," ",ALAPADATOK!F7," ",ALAPADATOK!G7," ",ALAPADATOK!H7)</f>
        <v>7. tájékoztató tábla a 2 / 2020 ( II. 21. ) önkormányzati rendelethez</v>
      </c>
    </row>
    <row r="2" spans="1:5" ht="15.75">
      <c r="A2" s="839" t="str">
        <f>CONCATENATE(ALAPADATOK!A3)</f>
        <v>BALATONGYÖRÖK KÖZSÉG ÖNKORMÁNYZATA</v>
      </c>
      <c r="B2" s="840"/>
      <c r="C2" s="840"/>
      <c r="D2" s="840"/>
      <c r="E2" s="840"/>
    </row>
    <row r="3" spans="1:5" ht="15.75">
      <c r="A3" s="813" t="str">
        <f>CONCATENATE(ALAPADATOK!D7,". ÉVI KÖLTSÉGVETÉSI ÉVET KÖVETŐ 3 ÉV TERVEZETT")</f>
        <v>2020. ÉVI KÖLTSÉGVETÉSI ÉVET KÖVETŐ 3 ÉV TERVEZETT</v>
      </c>
      <c r="B3" s="841"/>
      <c r="C3" s="841"/>
      <c r="D3" s="841"/>
      <c r="E3" s="841"/>
    </row>
    <row r="4" spans="1:5" ht="15.75" customHeight="1">
      <c r="A4" s="757" t="s">
        <v>591</v>
      </c>
      <c r="B4" s="757"/>
      <c r="C4" s="757"/>
      <c r="D4" s="757"/>
      <c r="E4" s="757"/>
    </row>
    <row r="5" spans="1:5" ht="15.75" customHeight="1" thickBot="1">
      <c r="A5" s="756" t="s">
        <v>149</v>
      </c>
      <c r="B5" s="756"/>
      <c r="D5" s="134"/>
      <c r="E5" s="284" t="str">
        <f>'KV_4.sz.tájékoztató_t.'!O3</f>
        <v>Forintban!</v>
      </c>
    </row>
    <row r="6" spans="1:5" ht="37.5" customHeight="1" thickBot="1">
      <c r="A6" s="23" t="s">
        <v>69</v>
      </c>
      <c r="B6" s="24" t="s">
        <v>17</v>
      </c>
      <c r="C6" s="24" t="str">
        <f>+CONCATENATE(LEFT(KV_ÖSSZEFÜGGÉSEK!A5,4)+1,". évi")</f>
        <v>2021. évi</v>
      </c>
      <c r="D6" s="382" t="str">
        <f>+CONCATENATE(LEFT(KV_ÖSSZEFÜGGÉSEK!A5,4)+2,". évi")</f>
        <v>2022. évi</v>
      </c>
      <c r="E6" s="152" t="str">
        <f>+CONCATENATE(LEFT(KV_ÖSSZEFÜGGÉSEK!A5,4)+3,". évi")</f>
        <v>2023. évi</v>
      </c>
    </row>
    <row r="7" spans="1:5" s="390" customFormat="1" ht="12" customHeight="1" thickBot="1">
      <c r="A7" s="32" t="s">
        <v>485</v>
      </c>
      <c r="B7" s="33" t="s">
        <v>486</v>
      </c>
      <c r="C7" s="33" t="s">
        <v>487</v>
      </c>
      <c r="D7" s="33" t="s">
        <v>489</v>
      </c>
      <c r="E7" s="424" t="s">
        <v>488</v>
      </c>
    </row>
    <row r="8" spans="1:5" s="391" customFormat="1" ht="12" customHeight="1" thickBot="1">
      <c r="A8" s="20" t="s">
        <v>18</v>
      </c>
      <c r="B8" s="21" t="s">
        <v>520</v>
      </c>
      <c r="C8" s="441">
        <v>75000000</v>
      </c>
      <c r="D8" s="441">
        <v>72000000</v>
      </c>
      <c r="E8" s="442">
        <v>70000000</v>
      </c>
    </row>
    <row r="9" spans="1:5" s="391" customFormat="1" ht="12" customHeight="1" thickBot="1">
      <c r="A9" s="20" t="s">
        <v>19</v>
      </c>
      <c r="B9" s="269" t="s">
        <v>368</v>
      </c>
      <c r="C9" s="441"/>
      <c r="D9" s="441"/>
      <c r="E9" s="442"/>
    </row>
    <row r="10" spans="1:5" s="391" customFormat="1" ht="12" customHeight="1" thickBot="1">
      <c r="A10" s="20" t="s">
        <v>20</v>
      </c>
      <c r="B10" s="21" t="s">
        <v>375</v>
      </c>
      <c r="C10" s="441">
        <v>80000000</v>
      </c>
      <c r="D10" s="441">
        <v>75000000</v>
      </c>
      <c r="E10" s="442">
        <v>90000000</v>
      </c>
    </row>
    <row r="11" spans="1:5" s="391" customFormat="1" ht="12" customHeight="1" thickBot="1">
      <c r="A11" s="20" t="s">
        <v>169</v>
      </c>
      <c r="B11" s="21" t="s">
        <v>262</v>
      </c>
      <c r="C11" s="381">
        <f>SUM(C12:C18)</f>
        <v>162000000</v>
      </c>
      <c r="D11" s="381">
        <f>SUM(D12:D18)</f>
        <v>162000000</v>
      </c>
      <c r="E11" s="423">
        <f>SUM(E12:E18)</f>
        <v>162000000</v>
      </c>
    </row>
    <row r="12" spans="1:5" s="391" customFormat="1" ht="12" customHeight="1">
      <c r="A12" s="15" t="s">
        <v>263</v>
      </c>
      <c r="B12" s="392" t="str">
        <f>'KV_1.1.sz.mell.'!B32</f>
        <v>Építményadó</v>
      </c>
      <c r="C12" s="376">
        <v>82000000</v>
      </c>
      <c r="D12" s="376">
        <v>82000000</v>
      </c>
      <c r="E12" s="376">
        <v>82000000</v>
      </c>
    </row>
    <row r="13" spans="1:5" s="391" customFormat="1" ht="12" customHeight="1">
      <c r="A13" s="14" t="s">
        <v>264</v>
      </c>
      <c r="B13" s="393" t="str">
        <f>'KV_1.1.sz.mell.'!B33</f>
        <v>Telekadó</v>
      </c>
      <c r="C13" s="375">
        <v>12000000</v>
      </c>
      <c r="D13" s="375">
        <v>12000000</v>
      </c>
      <c r="E13" s="375">
        <v>12000000</v>
      </c>
    </row>
    <row r="14" spans="1:5" s="391" customFormat="1" ht="12" customHeight="1">
      <c r="A14" s="14" t="s">
        <v>265</v>
      </c>
      <c r="B14" s="393" t="str">
        <f>'KV_1.1.sz.mell.'!B34</f>
        <v>Iparűzési adó</v>
      </c>
      <c r="C14" s="375">
        <v>32000000</v>
      </c>
      <c r="D14" s="375">
        <v>32000000</v>
      </c>
      <c r="E14" s="375">
        <v>32000000</v>
      </c>
    </row>
    <row r="15" spans="1:5" s="391" customFormat="1" ht="12" customHeight="1">
      <c r="A15" s="14" t="s">
        <v>266</v>
      </c>
      <c r="B15" s="393" t="str">
        <f>'KV_1.1.sz.mell.'!B35</f>
        <v>Idegenforgalmi adó</v>
      </c>
      <c r="C15" s="375">
        <v>28000000</v>
      </c>
      <c r="D15" s="375">
        <v>28000000</v>
      </c>
      <c r="E15" s="375">
        <v>28000000</v>
      </c>
    </row>
    <row r="16" spans="1:5" s="391" customFormat="1" ht="12" customHeight="1">
      <c r="A16" s="14" t="s">
        <v>541</v>
      </c>
      <c r="B16" s="393" t="str">
        <f>'KV_1.1.sz.mell.'!B36</f>
        <v>Gépjárműadó</v>
      </c>
      <c r="C16" s="375">
        <v>4500000</v>
      </c>
      <c r="D16" s="375">
        <v>4500000</v>
      </c>
      <c r="E16" s="375">
        <v>4500000</v>
      </c>
    </row>
    <row r="17" spans="1:5" s="391" customFormat="1" ht="12" customHeight="1">
      <c r="A17" s="14" t="s">
        <v>542</v>
      </c>
      <c r="B17" s="393" t="str">
        <f>'KV_1.1.sz.mell.'!B37</f>
        <v>Települési adó</v>
      </c>
      <c r="C17" s="375">
        <v>2500000</v>
      </c>
      <c r="D17" s="375">
        <v>2500000</v>
      </c>
      <c r="E17" s="375">
        <v>2500000</v>
      </c>
    </row>
    <row r="18" spans="1:5" s="391" customFormat="1" ht="12" customHeight="1" thickBot="1">
      <c r="A18" s="16" t="s">
        <v>543</v>
      </c>
      <c r="B18" s="394" t="str">
        <f>'KV_1.1.sz.mell.'!B38</f>
        <v>Egyéb adó</v>
      </c>
      <c r="C18" s="377">
        <v>1000000</v>
      </c>
      <c r="D18" s="377">
        <v>1000000</v>
      </c>
      <c r="E18" s="377">
        <v>1000000</v>
      </c>
    </row>
    <row r="19" spans="1:5" s="391" customFormat="1" ht="12" customHeight="1" thickBot="1">
      <c r="A19" s="20" t="s">
        <v>22</v>
      </c>
      <c r="B19" s="21" t="s">
        <v>523</v>
      </c>
      <c r="C19" s="441">
        <v>130000000</v>
      </c>
      <c r="D19" s="441">
        <v>135000000</v>
      </c>
      <c r="E19" s="442">
        <v>140000000</v>
      </c>
    </row>
    <row r="20" spans="1:5" s="391" customFormat="1" ht="12" customHeight="1" thickBot="1">
      <c r="A20" s="20" t="s">
        <v>23</v>
      </c>
      <c r="B20" s="21" t="s">
        <v>10</v>
      </c>
      <c r="C20" s="441"/>
      <c r="D20" s="441"/>
      <c r="E20" s="442"/>
    </row>
    <row r="21" spans="1:5" s="391" customFormat="1" ht="12" customHeight="1" thickBot="1">
      <c r="A21" s="20" t="s">
        <v>176</v>
      </c>
      <c r="B21" s="21" t="s">
        <v>522</v>
      </c>
      <c r="C21" s="441"/>
      <c r="D21" s="441"/>
      <c r="E21" s="442"/>
    </row>
    <row r="22" spans="1:5" s="391" customFormat="1" ht="12" customHeight="1" thickBot="1">
      <c r="A22" s="20" t="s">
        <v>25</v>
      </c>
      <c r="B22" s="269" t="s">
        <v>521</v>
      </c>
      <c r="C22" s="441"/>
      <c r="D22" s="441"/>
      <c r="E22" s="442"/>
    </row>
    <row r="23" spans="1:5" s="391" customFormat="1" ht="12" customHeight="1" thickBot="1">
      <c r="A23" s="20" t="s">
        <v>26</v>
      </c>
      <c r="B23" s="21" t="s">
        <v>300</v>
      </c>
      <c r="C23" s="381">
        <f>+C8+C9+C10+C11+C19+C20+C21+C22</f>
        <v>447000000</v>
      </c>
      <c r="D23" s="381">
        <f>+D8+D9+D10+D11+D19+D20+D21+D22</f>
        <v>444000000</v>
      </c>
      <c r="E23" s="280">
        <f>+E8+E9+E10+E11+E19+E20+E21+E22</f>
        <v>462000000</v>
      </c>
    </row>
    <row r="24" spans="1:5" s="391" customFormat="1" ht="12" customHeight="1" thickBot="1">
      <c r="A24" s="20" t="s">
        <v>27</v>
      </c>
      <c r="B24" s="21" t="s">
        <v>524</v>
      </c>
      <c r="C24" s="486">
        <v>82000000</v>
      </c>
      <c r="D24" s="486">
        <v>80000000</v>
      </c>
      <c r="E24" s="487">
        <v>83000000</v>
      </c>
    </row>
    <row r="25" spans="1:5" s="391" customFormat="1" ht="12" customHeight="1" thickBot="1">
      <c r="A25" s="20" t="s">
        <v>28</v>
      </c>
      <c r="B25" s="21" t="s">
        <v>525</v>
      </c>
      <c r="C25" s="381">
        <f>+C23+C24</f>
        <v>529000000</v>
      </c>
      <c r="D25" s="381">
        <f>+D23+D24</f>
        <v>524000000</v>
      </c>
      <c r="E25" s="423">
        <f>+E23+E24</f>
        <v>545000000</v>
      </c>
    </row>
    <row r="26" spans="1:5" s="391" customFormat="1" ht="12" customHeight="1">
      <c r="A26" s="346"/>
      <c r="B26" s="347"/>
      <c r="C26" s="348"/>
      <c r="D26" s="483"/>
      <c r="E26" s="484"/>
    </row>
    <row r="27" spans="1:5" s="391" customFormat="1" ht="12" customHeight="1">
      <c r="A27" s="757" t="s">
        <v>47</v>
      </c>
      <c r="B27" s="757"/>
      <c r="C27" s="757"/>
      <c r="D27" s="757"/>
      <c r="E27" s="757"/>
    </row>
    <row r="28" spans="1:5" s="391" customFormat="1" ht="12" customHeight="1" thickBot="1">
      <c r="A28" s="754" t="s">
        <v>150</v>
      </c>
      <c r="B28" s="754"/>
      <c r="C28" s="359"/>
      <c r="D28" s="134"/>
      <c r="E28" s="284" t="str">
        <f>E5</f>
        <v>Forintban!</v>
      </c>
    </row>
    <row r="29" spans="1:6" s="391" customFormat="1" ht="24" customHeight="1" thickBot="1">
      <c r="A29" s="23" t="s">
        <v>16</v>
      </c>
      <c r="B29" s="24" t="s">
        <v>48</v>
      </c>
      <c r="C29" s="24" t="str">
        <f>+C6</f>
        <v>2021. évi</v>
      </c>
      <c r="D29" s="24" t="str">
        <f>+D6</f>
        <v>2022. évi</v>
      </c>
      <c r="E29" s="152" t="str">
        <f>+E6</f>
        <v>2023. évi</v>
      </c>
      <c r="F29" s="485"/>
    </row>
    <row r="30" spans="1:6" s="391" customFormat="1" ht="12" customHeight="1" thickBot="1">
      <c r="A30" s="386" t="s">
        <v>485</v>
      </c>
      <c r="B30" s="387" t="s">
        <v>486</v>
      </c>
      <c r="C30" s="387" t="s">
        <v>487</v>
      </c>
      <c r="D30" s="387" t="s">
        <v>489</v>
      </c>
      <c r="E30" s="479" t="s">
        <v>488</v>
      </c>
      <c r="F30" s="485"/>
    </row>
    <row r="31" spans="1:6" s="391" customFormat="1" ht="15" customHeight="1" thickBot="1">
      <c r="A31" s="20" t="s">
        <v>18</v>
      </c>
      <c r="B31" s="27" t="s">
        <v>526</v>
      </c>
      <c r="C31" s="441">
        <v>356000000</v>
      </c>
      <c r="D31" s="441">
        <v>358000000</v>
      </c>
      <c r="E31" s="437">
        <v>360000000</v>
      </c>
      <c r="F31" s="485"/>
    </row>
    <row r="32" spans="1:5" ht="12" customHeight="1" thickBot="1">
      <c r="A32" s="458" t="s">
        <v>19</v>
      </c>
      <c r="B32" s="480" t="s">
        <v>531</v>
      </c>
      <c r="C32" s="481">
        <f>+C33+C34+C35</f>
        <v>169800000</v>
      </c>
      <c r="D32" s="481">
        <f>+D33+D34+D35</f>
        <v>162800000</v>
      </c>
      <c r="E32" s="482">
        <f>+E33+E34+E35</f>
        <v>181800000</v>
      </c>
    </row>
    <row r="33" spans="1:5" ht="12" customHeight="1">
      <c r="A33" s="15" t="s">
        <v>103</v>
      </c>
      <c r="B33" s="8" t="s">
        <v>225</v>
      </c>
      <c r="C33" s="376">
        <v>49800000</v>
      </c>
      <c r="D33" s="376">
        <v>62000000</v>
      </c>
      <c r="E33" s="246">
        <v>56000000</v>
      </c>
    </row>
    <row r="34" spans="1:5" ht="12" customHeight="1">
      <c r="A34" s="15" t="s">
        <v>104</v>
      </c>
      <c r="B34" s="12" t="s">
        <v>183</v>
      </c>
      <c r="C34" s="375">
        <v>120000000</v>
      </c>
      <c r="D34" s="375">
        <v>100800000</v>
      </c>
      <c r="E34" s="245">
        <v>125800000</v>
      </c>
    </row>
    <row r="35" spans="1:5" ht="12" customHeight="1" thickBot="1">
      <c r="A35" s="15" t="s">
        <v>105</v>
      </c>
      <c r="B35" s="271" t="s">
        <v>227</v>
      </c>
      <c r="C35" s="375"/>
      <c r="D35" s="375"/>
      <c r="E35" s="245"/>
    </row>
    <row r="36" spans="1:5" ht="12" customHeight="1" thickBot="1">
      <c r="A36" s="20" t="s">
        <v>20</v>
      </c>
      <c r="B36" s="118" t="s">
        <v>440</v>
      </c>
      <c r="C36" s="374">
        <f>+C31+C32</f>
        <v>525800000</v>
      </c>
      <c r="D36" s="374">
        <f>+D31+D32</f>
        <v>520800000</v>
      </c>
      <c r="E36" s="244">
        <f>+E31+E32</f>
        <v>541800000</v>
      </c>
    </row>
    <row r="37" spans="1:6" ht="15" customHeight="1" thickBot="1">
      <c r="A37" s="20" t="s">
        <v>21</v>
      </c>
      <c r="B37" s="118" t="s">
        <v>527</v>
      </c>
      <c r="C37" s="488">
        <v>3200000</v>
      </c>
      <c r="D37" s="488">
        <v>3200000</v>
      </c>
      <c r="E37" s="489">
        <v>3200000</v>
      </c>
      <c r="F37" s="404"/>
    </row>
    <row r="38" spans="1:5" s="391" customFormat="1" ht="12.75" customHeight="1" thickBot="1">
      <c r="A38" s="272" t="s">
        <v>22</v>
      </c>
      <c r="B38" s="357" t="s">
        <v>528</v>
      </c>
      <c r="C38" s="478">
        <f>+C36+C37</f>
        <v>529000000</v>
      </c>
      <c r="D38" s="478">
        <f>+D36+D37</f>
        <v>524000000</v>
      </c>
      <c r="E38" s="472">
        <f>+E36+E37</f>
        <v>545000000</v>
      </c>
    </row>
    <row r="39" spans="3:5" ht="15.75">
      <c r="C39" s="624">
        <f>C25-C38</f>
        <v>0</v>
      </c>
      <c r="D39" s="624">
        <f>D25-D38</f>
        <v>0</v>
      </c>
      <c r="E39" s="624">
        <f>E25-E38</f>
        <v>0</v>
      </c>
    </row>
    <row r="40" ht="15.75">
      <c r="C40" s="358"/>
    </row>
    <row r="41" ht="15.75">
      <c r="C41" s="358"/>
    </row>
    <row r="42" ht="16.5" customHeight="1">
      <c r="C42" s="358"/>
    </row>
    <row r="43" ht="15.75">
      <c r="C43" s="358"/>
    </row>
    <row r="44" ht="15.75">
      <c r="C44" s="358"/>
    </row>
    <row r="45" spans="6:7" s="358" customFormat="1" ht="15.75">
      <c r="F45" s="389"/>
      <c r="G45" s="389"/>
    </row>
    <row r="46" spans="6:7" s="358" customFormat="1" ht="15.75">
      <c r="F46" s="389"/>
      <c r="G46" s="389"/>
    </row>
    <row r="47" spans="6:7" s="358" customFormat="1" ht="15.75">
      <c r="F47" s="389"/>
      <c r="G47" s="389"/>
    </row>
    <row r="48" spans="6:7" s="358" customFormat="1" ht="15.75">
      <c r="F48" s="389"/>
      <c r="G48" s="389"/>
    </row>
    <row r="49" spans="6:7" s="358" customFormat="1" ht="15.75">
      <c r="F49" s="389"/>
      <c r="G49" s="389"/>
    </row>
    <row r="50" spans="6:7" s="358" customFormat="1" ht="15.75">
      <c r="F50" s="389"/>
      <c r="G50" s="389"/>
    </row>
    <row r="51" spans="6:7" s="358" customFormat="1" ht="15.75">
      <c r="F51" s="389"/>
      <c r="G51" s="389"/>
    </row>
  </sheetData>
  <sheetProtection sheet="1"/>
  <mergeCells count="6">
    <mergeCell ref="A4:E4"/>
    <mergeCell ref="A5:B5"/>
    <mergeCell ref="A27:E27"/>
    <mergeCell ref="A28:B28"/>
    <mergeCell ref="A2:E2"/>
    <mergeCell ref="A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">
      <selection activeCell="C120" sqref="C120"/>
    </sheetView>
  </sheetViews>
  <sheetFormatPr defaultColWidth="9.00390625" defaultRowHeight="12.75"/>
  <cols>
    <col min="1" max="1" width="9.50390625" style="358" customWidth="1"/>
    <col min="2" max="2" width="99.375" style="358" customWidth="1"/>
    <col min="3" max="3" width="21.625" style="359" customWidth="1"/>
    <col min="4" max="4" width="9.00390625" style="389" customWidth="1"/>
    <col min="5" max="16384" width="9.375" style="389" customWidth="1"/>
  </cols>
  <sheetData>
    <row r="1" spans="1:3" ht="18.75" customHeight="1">
      <c r="A1" s="595"/>
      <c r="B1" s="750" t="str">
        <f>CONCATENATE("1.1. melléklet ",ALAPADATOK!A7," ",ALAPADATOK!B7," ",ALAPADATOK!C7," ",ALAPADATOK!D7," ",ALAPADATOK!E7," ",ALAPADATOK!F7," ",ALAPADATOK!G7," ",ALAPADATOK!H7)</f>
        <v>1.1. melléklet a 2 / 2020 ( II. 21. ) önkormányzati rendelethez</v>
      </c>
      <c r="C1" s="751"/>
    </row>
    <row r="2" spans="1:3" ht="21.75" customHeight="1">
      <c r="A2" s="596"/>
      <c r="B2" s="597" t="str">
        <f>CONCATENATE(ALAPADATOK!A3)</f>
        <v>BALATONGYÖRÖK KÖZSÉG ÖNKORMÁNYZATA</v>
      </c>
      <c r="C2" s="598"/>
    </row>
    <row r="3" spans="1:3" ht="21.75" customHeight="1">
      <c r="A3" s="598"/>
      <c r="B3" s="597" t="str">
        <f>CONCATENATE(ALAPADATOK!D7,". ÉVI KÖLTSÉGVETÉS")</f>
        <v>2020. ÉVI KÖLTSÉGVETÉS</v>
      </c>
      <c r="C3" s="598"/>
    </row>
    <row r="4" spans="1:3" ht="21.75" customHeight="1">
      <c r="A4" s="598"/>
      <c r="B4" s="597" t="s">
        <v>566</v>
      </c>
      <c r="C4" s="598"/>
    </row>
    <row r="5" spans="1:3" ht="21.75" customHeight="1">
      <c r="A5" s="595"/>
      <c r="B5" s="595"/>
      <c r="C5" s="599"/>
    </row>
    <row r="6" spans="1:3" ht="15" customHeight="1">
      <c r="A6" s="752" t="s">
        <v>15</v>
      </c>
      <c r="B6" s="752"/>
      <c r="C6" s="752"/>
    </row>
    <row r="7" spans="1:3" ht="15" customHeight="1" thickBot="1">
      <c r="A7" s="753" t="s">
        <v>149</v>
      </c>
      <c r="B7" s="753"/>
      <c r="C7" s="550" t="s">
        <v>552</v>
      </c>
    </row>
    <row r="8" spans="1:3" ht="24" customHeight="1" thickBot="1">
      <c r="A8" s="600" t="s">
        <v>69</v>
      </c>
      <c r="B8" s="601" t="s">
        <v>17</v>
      </c>
      <c r="C8" s="602" t="str">
        <f>+CONCATENATE(LEFT(KV_ÖSSZEFÜGGÉSEK!A5,4),". évi előirányzat")</f>
        <v>2020. évi előirányzat</v>
      </c>
    </row>
    <row r="9" spans="1:3" s="390" customFormat="1" ht="12" customHeight="1" thickBot="1">
      <c r="A9" s="535"/>
      <c r="B9" s="536" t="s">
        <v>485</v>
      </c>
      <c r="C9" s="537" t="s">
        <v>486</v>
      </c>
    </row>
    <row r="10" spans="1:3" s="391" customFormat="1" ht="12" customHeight="1" thickBot="1">
      <c r="A10" s="20" t="s">
        <v>18</v>
      </c>
      <c r="B10" s="21" t="s">
        <v>247</v>
      </c>
      <c r="C10" s="274">
        <f>+C11+C12+C13+C14+C15+C16</f>
        <v>75625669</v>
      </c>
    </row>
    <row r="11" spans="1:3" s="391" customFormat="1" ht="12" customHeight="1">
      <c r="A11" s="15" t="s">
        <v>97</v>
      </c>
      <c r="B11" s="392" t="s">
        <v>248</v>
      </c>
      <c r="C11" s="277">
        <v>63205646</v>
      </c>
    </row>
    <row r="12" spans="1:3" s="391" customFormat="1" ht="12" customHeight="1">
      <c r="A12" s="14" t="s">
        <v>98</v>
      </c>
      <c r="B12" s="393" t="s">
        <v>249</v>
      </c>
      <c r="C12" s="276"/>
    </row>
    <row r="13" spans="1:3" s="391" customFormat="1" ht="12" customHeight="1">
      <c r="A13" s="14" t="s">
        <v>99</v>
      </c>
      <c r="B13" s="393" t="s">
        <v>539</v>
      </c>
      <c r="C13" s="276">
        <v>10620023</v>
      </c>
    </row>
    <row r="14" spans="1:3" s="391" customFormat="1" ht="12" customHeight="1">
      <c r="A14" s="14" t="s">
        <v>100</v>
      </c>
      <c r="B14" s="393" t="s">
        <v>251</v>
      </c>
      <c r="C14" s="276">
        <v>1800000</v>
      </c>
    </row>
    <row r="15" spans="1:3" s="391" customFormat="1" ht="12" customHeight="1">
      <c r="A15" s="14" t="s">
        <v>145</v>
      </c>
      <c r="B15" s="270" t="s">
        <v>424</v>
      </c>
      <c r="C15" s="276"/>
    </row>
    <row r="16" spans="1:3" s="391" customFormat="1" ht="12" customHeight="1" thickBot="1">
      <c r="A16" s="16" t="s">
        <v>101</v>
      </c>
      <c r="B16" s="271" t="s">
        <v>425</v>
      </c>
      <c r="C16" s="276"/>
    </row>
    <row r="17" spans="1:3" s="391" customFormat="1" ht="12" customHeight="1" thickBot="1">
      <c r="A17" s="20" t="s">
        <v>19</v>
      </c>
      <c r="B17" s="269" t="s">
        <v>252</v>
      </c>
      <c r="C17" s="274">
        <f>+C18+C19+C20+C21+C22</f>
        <v>0</v>
      </c>
    </row>
    <row r="18" spans="1:3" s="391" customFormat="1" ht="12" customHeight="1">
      <c r="A18" s="15" t="s">
        <v>103</v>
      </c>
      <c r="B18" s="392" t="s">
        <v>253</v>
      </c>
      <c r="C18" s="277"/>
    </row>
    <row r="19" spans="1:3" s="391" customFormat="1" ht="12" customHeight="1">
      <c r="A19" s="14" t="s">
        <v>104</v>
      </c>
      <c r="B19" s="393" t="s">
        <v>254</v>
      </c>
      <c r="C19" s="276"/>
    </row>
    <row r="20" spans="1:3" s="391" customFormat="1" ht="12" customHeight="1">
      <c r="A20" s="14" t="s">
        <v>105</v>
      </c>
      <c r="B20" s="393" t="s">
        <v>414</v>
      </c>
      <c r="C20" s="276"/>
    </row>
    <row r="21" spans="1:3" s="391" customFormat="1" ht="12" customHeight="1">
      <c r="A21" s="14" t="s">
        <v>106</v>
      </c>
      <c r="B21" s="393" t="s">
        <v>415</v>
      </c>
      <c r="C21" s="276"/>
    </row>
    <row r="22" spans="1:3" s="391" customFormat="1" ht="12" customHeight="1">
      <c r="A22" s="14" t="s">
        <v>107</v>
      </c>
      <c r="B22" s="393" t="s">
        <v>561</v>
      </c>
      <c r="C22" s="276"/>
    </row>
    <row r="23" spans="1:3" s="391" customFormat="1" ht="12" customHeight="1" thickBot="1">
      <c r="A23" s="16" t="s">
        <v>116</v>
      </c>
      <c r="B23" s="271" t="s">
        <v>256</v>
      </c>
      <c r="C23" s="278"/>
    </row>
    <row r="24" spans="1:3" s="391" customFormat="1" ht="12" customHeight="1" thickBot="1">
      <c r="A24" s="20" t="s">
        <v>20</v>
      </c>
      <c r="B24" s="21" t="s">
        <v>257</v>
      </c>
      <c r="C24" s="274">
        <f>+C25+C26+C27+C28+C29</f>
        <v>150437138</v>
      </c>
    </row>
    <row r="25" spans="1:3" s="391" customFormat="1" ht="12" customHeight="1">
      <c r="A25" s="15" t="s">
        <v>86</v>
      </c>
      <c r="B25" s="392" t="s">
        <v>258</v>
      </c>
      <c r="C25" s="277">
        <v>2607000</v>
      </c>
    </row>
    <row r="26" spans="1:3" s="391" customFormat="1" ht="12" customHeight="1">
      <c r="A26" s="14" t="s">
        <v>87</v>
      </c>
      <c r="B26" s="393" t="s">
        <v>259</v>
      </c>
      <c r="C26" s="276"/>
    </row>
    <row r="27" spans="1:3" s="391" customFormat="1" ht="12" customHeight="1">
      <c r="A27" s="14" t="s">
        <v>88</v>
      </c>
      <c r="B27" s="393" t="s">
        <v>416</v>
      </c>
      <c r="C27" s="276"/>
    </row>
    <row r="28" spans="1:3" s="391" customFormat="1" ht="12" customHeight="1">
      <c r="A28" s="14" t="s">
        <v>89</v>
      </c>
      <c r="B28" s="393" t="s">
        <v>417</v>
      </c>
      <c r="C28" s="276"/>
    </row>
    <row r="29" spans="1:3" s="391" customFormat="1" ht="12" customHeight="1">
      <c r="A29" s="14" t="s">
        <v>167</v>
      </c>
      <c r="B29" s="393" t="s">
        <v>260</v>
      </c>
      <c r="C29" s="276">
        <v>147830138</v>
      </c>
    </row>
    <row r="30" spans="1:3" s="529" customFormat="1" ht="12" customHeight="1" thickBot="1">
      <c r="A30" s="538" t="s">
        <v>168</v>
      </c>
      <c r="B30" s="527" t="s">
        <v>556</v>
      </c>
      <c r="C30" s="528">
        <v>64830138</v>
      </c>
    </row>
    <row r="31" spans="1:3" s="391" customFormat="1" ht="12" customHeight="1" thickBot="1">
      <c r="A31" s="20" t="s">
        <v>169</v>
      </c>
      <c r="B31" s="21" t="s">
        <v>540</v>
      </c>
      <c r="C31" s="280">
        <f>SUM(C32:C38)</f>
        <v>160000000</v>
      </c>
    </row>
    <row r="32" spans="1:3" s="391" customFormat="1" ht="12" customHeight="1">
      <c r="A32" s="15" t="s">
        <v>263</v>
      </c>
      <c r="B32" s="392" t="s">
        <v>544</v>
      </c>
      <c r="C32" s="277">
        <v>80000000</v>
      </c>
    </row>
    <row r="33" spans="1:3" s="391" customFormat="1" ht="12" customHeight="1">
      <c r="A33" s="14" t="s">
        <v>264</v>
      </c>
      <c r="B33" s="393" t="s">
        <v>663</v>
      </c>
      <c r="C33" s="276">
        <v>12000000</v>
      </c>
    </row>
    <row r="34" spans="1:3" s="391" customFormat="1" ht="12" customHeight="1">
      <c r="A34" s="14" t="s">
        <v>265</v>
      </c>
      <c r="B34" s="393" t="s">
        <v>546</v>
      </c>
      <c r="C34" s="276">
        <v>32000000</v>
      </c>
    </row>
    <row r="35" spans="1:3" s="391" customFormat="1" ht="12" customHeight="1">
      <c r="A35" s="14" t="s">
        <v>266</v>
      </c>
      <c r="B35" s="393" t="s">
        <v>545</v>
      </c>
      <c r="C35" s="276">
        <v>28000000</v>
      </c>
    </row>
    <row r="36" spans="1:3" s="391" customFormat="1" ht="12" customHeight="1">
      <c r="A36" s="14" t="s">
        <v>541</v>
      </c>
      <c r="B36" s="393" t="s">
        <v>267</v>
      </c>
      <c r="C36" s="276">
        <v>4500000</v>
      </c>
    </row>
    <row r="37" spans="1:3" s="391" customFormat="1" ht="12" customHeight="1">
      <c r="A37" s="14" t="s">
        <v>542</v>
      </c>
      <c r="B37" s="393" t="s">
        <v>685</v>
      </c>
      <c r="C37" s="276">
        <v>2500000</v>
      </c>
    </row>
    <row r="38" spans="1:3" s="391" customFormat="1" ht="12" customHeight="1" thickBot="1">
      <c r="A38" s="16" t="s">
        <v>543</v>
      </c>
      <c r="B38" s="647" t="s">
        <v>684</v>
      </c>
      <c r="C38" s="278">
        <v>1000000</v>
      </c>
    </row>
    <row r="39" spans="1:3" s="391" customFormat="1" ht="12" customHeight="1" thickBot="1">
      <c r="A39" s="20" t="s">
        <v>22</v>
      </c>
      <c r="B39" s="21" t="s">
        <v>426</v>
      </c>
      <c r="C39" s="274">
        <f>SUM(C40:C50)</f>
        <v>145790828</v>
      </c>
    </row>
    <row r="40" spans="1:3" s="391" customFormat="1" ht="12" customHeight="1">
      <c r="A40" s="15" t="s">
        <v>90</v>
      </c>
      <c r="B40" s="392" t="s">
        <v>270</v>
      </c>
      <c r="C40" s="277"/>
    </row>
    <row r="41" spans="1:3" s="391" customFormat="1" ht="12" customHeight="1">
      <c r="A41" s="14" t="s">
        <v>91</v>
      </c>
      <c r="B41" s="393" t="s">
        <v>271</v>
      </c>
      <c r="C41" s="276">
        <v>95400000</v>
      </c>
    </row>
    <row r="42" spans="1:3" s="391" customFormat="1" ht="12" customHeight="1">
      <c r="A42" s="14" t="s">
        <v>92</v>
      </c>
      <c r="B42" s="393" t="s">
        <v>272</v>
      </c>
      <c r="C42" s="276">
        <v>4000000</v>
      </c>
    </row>
    <row r="43" spans="1:3" s="391" customFormat="1" ht="12" customHeight="1">
      <c r="A43" s="14" t="s">
        <v>171</v>
      </c>
      <c r="B43" s="393" t="s">
        <v>273</v>
      </c>
      <c r="C43" s="276"/>
    </row>
    <row r="44" spans="1:3" s="391" customFormat="1" ht="12" customHeight="1">
      <c r="A44" s="14" t="s">
        <v>172</v>
      </c>
      <c r="B44" s="393" t="s">
        <v>274</v>
      </c>
      <c r="C44" s="276">
        <v>3800000</v>
      </c>
    </row>
    <row r="45" spans="1:3" s="391" customFormat="1" ht="12" customHeight="1">
      <c r="A45" s="14" t="s">
        <v>173</v>
      </c>
      <c r="B45" s="393" t="s">
        <v>275</v>
      </c>
      <c r="C45" s="276">
        <v>21821400</v>
      </c>
    </row>
    <row r="46" spans="1:3" s="391" customFormat="1" ht="12" customHeight="1">
      <c r="A46" s="14" t="s">
        <v>174</v>
      </c>
      <c r="B46" s="393" t="s">
        <v>276</v>
      </c>
      <c r="C46" s="276">
        <v>20250000</v>
      </c>
    </row>
    <row r="47" spans="1:3" s="391" customFormat="1" ht="12" customHeight="1">
      <c r="A47" s="14" t="s">
        <v>175</v>
      </c>
      <c r="B47" s="393" t="s">
        <v>547</v>
      </c>
      <c r="C47" s="276"/>
    </row>
    <row r="48" spans="1:3" s="391" customFormat="1" ht="12" customHeight="1">
      <c r="A48" s="14" t="s">
        <v>268</v>
      </c>
      <c r="B48" s="393" t="s">
        <v>278</v>
      </c>
      <c r="C48" s="279">
        <v>19428</v>
      </c>
    </row>
    <row r="49" spans="1:3" s="391" customFormat="1" ht="12" customHeight="1">
      <c r="A49" s="16" t="s">
        <v>269</v>
      </c>
      <c r="B49" s="394" t="s">
        <v>428</v>
      </c>
      <c r="C49" s="380"/>
    </row>
    <row r="50" spans="1:3" s="391" customFormat="1" ht="12" customHeight="1" thickBot="1">
      <c r="A50" s="16" t="s">
        <v>427</v>
      </c>
      <c r="B50" s="271" t="s">
        <v>279</v>
      </c>
      <c r="C50" s="380">
        <v>500000</v>
      </c>
    </row>
    <row r="51" spans="1:3" s="391" customFormat="1" ht="12" customHeight="1" thickBot="1">
      <c r="A51" s="20" t="s">
        <v>23</v>
      </c>
      <c r="B51" s="21" t="s">
        <v>280</v>
      </c>
      <c r="C51" s="274">
        <f>SUM(C52:C56)</f>
        <v>5580000</v>
      </c>
    </row>
    <row r="52" spans="1:3" s="391" customFormat="1" ht="12" customHeight="1">
      <c r="A52" s="15" t="s">
        <v>93</v>
      </c>
      <c r="B52" s="392" t="s">
        <v>284</v>
      </c>
      <c r="C52" s="436"/>
    </row>
    <row r="53" spans="1:3" s="391" customFormat="1" ht="12" customHeight="1">
      <c r="A53" s="14" t="s">
        <v>94</v>
      </c>
      <c r="B53" s="393" t="s">
        <v>285</v>
      </c>
      <c r="C53" s="279">
        <v>5580000</v>
      </c>
    </row>
    <row r="54" spans="1:3" s="391" customFormat="1" ht="12" customHeight="1">
      <c r="A54" s="14" t="s">
        <v>281</v>
      </c>
      <c r="B54" s="393" t="s">
        <v>286</v>
      </c>
      <c r="C54" s="279"/>
    </row>
    <row r="55" spans="1:3" s="391" customFormat="1" ht="12" customHeight="1">
      <c r="A55" s="14" t="s">
        <v>282</v>
      </c>
      <c r="B55" s="393" t="s">
        <v>287</v>
      </c>
      <c r="C55" s="279"/>
    </row>
    <row r="56" spans="1:3" s="391" customFormat="1" ht="12" customHeight="1" thickBot="1">
      <c r="A56" s="16" t="s">
        <v>283</v>
      </c>
      <c r="B56" s="271" t="s">
        <v>288</v>
      </c>
      <c r="C56" s="380"/>
    </row>
    <row r="57" spans="1:3" s="391" customFormat="1" ht="12" customHeight="1" thickBot="1">
      <c r="A57" s="20" t="s">
        <v>176</v>
      </c>
      <c r="B57" s="21" t="s">
        <v>289</v>
      </c>
      <c r="C57" s="274">
        <f>SUM(C58:C60)</f>
        <v>0</v>
      </c>
    </row>
    <row r="58" spans="1:3" s="391" customFormat="1" ht="12" customHeight="1">
      <c r="A58" s="15" t="s">
        <v>95</v>
      </c>
      <c r="B58" s="392" t="s">
        <v>290</v>
      </c>
      <c r="C58" s="277"/>
    </row>
    <row r="59" spans="1:3" s="391" customFormat="1" ht="12" customHeight="1">
      <c r="A59" s="14" t="s">
        <v>96</v>
      </c>
      <c r="B59" s="393" t="s">
        <v>418</v>
      </c>
      <c r="C59" s="276"/>
    </row>
    <row r="60" spans="1:3" s="391" customFormat="1" ht="12" customHeight="1">
      <c r="A60" s="14" t="s">
        <v>293</v>
      </c>
      <c r="B60" s="393" t="s">
        <v>291</v>
      </c>
      <c r="C60" s="276"/>
    </row>
    <row r="61" spans="1:3" s="391" customFormat="1" ht="12" customHeight="1" thickBot="1">
      <c r="A61" s="16" t="s">
        <v>294</v>
      </c>
      <c r="B61" s="271" t="s">
        <v>292</v>
      </c>
      <c r="C61" s="278"/>
    </row>
    <row r="62" spans="1:3" s="391" customFormat="1" ht="12" customHeight="1" thickBot="1">
      <c r="A62" s="20" t="s">
        <v>25</v>
      </c>
      <c r="B62" s="269" t="s">
        <v>295</v>
      </c>
      <c r="C62" s="274">
        <f>SUM(C63:C65)</f>
        <v>0</v>
      </c>
    </row>
    <row r="63" spans="1:3" s="391" customFormat="1" ht="12" customHeight="1">
      <c r="A63" s="15" t="s">
        <v>177</v>
      </c>
      <c r="B63" s="392" t="s">
        <v>297</v>
      </c>
      <c r="C63" s="279"/>
    </row>
    <row r="64" spans="1:3" s="391" customFormat="1" ht="12" customHeight="1">
      <c r="A64" s="14" t="s">
        <v>178</v>
      </c>
      <c r="B64" s="393" t="s">
        <v>419</v>
      </c>
      <c r="C64" s="279"/>
    </row>
    <row r="65" spans="1:3" s="391" customFormat="1" ht="12" customHeight="1">
      <c r="A65" s="14" t="s">
        <v>226</v>
      </c>
      <c r="B65" s="393" t="s">
        <v>298</v>
      </c>
      <c r="C65" s="279"/>
    </row>
    <row r="66" spans="1:3" s="391" customFormat="1" ht="12" customHeight="1" thickBot="1">
      <c r="A66" s="16" t="s">
        <v>296</v>
      </c>
      <c r="B66" s="271" t="s">
        <v>299</v>
      </c>
      <c r="C66" s="279"/>
    </row>
    <row r="67" spans="1:3" s="391" customFormat="1" ht="12" customHeight="1" thickBot="1">
      <c r="A67" s="463" t="s">
        <v>468</v>
      </c>
      <c r="B67" s="21" t="s">
        <v>300</v>
      </c>
      <c r="C67" s="280">
        <f>+C10+C17+C24+C31+C39+C51+C57+C62</f>
        <v>537433635</v>
      </c>
    </row>
    <row r="68" spans="1:3" s="391" customFormat="1" ht="12" customHeight="1" thickBot="1">
      <c r="A68" s="439" t="s">
        <v>301</v>
      </c>
      <c r="B68" s="269" t="s">
        <v>302</v>
      </c>
      <c r="C68" s="274">
        <f>SUM(C69:C71)</f>
        <v>0</v>
      </c>
    </row>
    <row r="69" spans="1:3" s="391" customFormat="1" ht="12" customHeight="1">
      <c r="A69" s="15" t="s">
        <v>330</v>
      </c>
      <c r="B69" s="392" t="s">
        <v>303</v>
      </c>
      <c r="C69" s="279"/>
    </row>
    <row r="70" spans="1:3" s="391" customFormat="1" ht="12" customHeight="1">
      <c r="A70" s="14" t="s">
        <v>339</v>
      </c>
      <c r="B70" s="393" t="s">
        <v>304</v>
      </c>
      <c r="C70" s="279"/>
    </row>
    <row r="71" spans="1:3" s="391" customFormat="1" ht="12" customHeight="1" thickBot="1">
      <c r="A71" s="16" t="s">
        <v>340</v>
      </c>
      <c r="B71" s="457" t="s">
        <v>557</v>
      </c>
      <c r="C71" s="279"/>
    </row>
    <row r="72" spans="1:3" s="391" customFormat="1" ht="12" customHeight="1" thickBot="1">
      <c r="A72" s="439" t="s">
        <v>306</v>
      </c>
      <c r="B72" s="269" t="s">
        <v>307</v>
      </c>
      <c r="C72" s="274">
        <f>SUM(C73:C76)</f>
        <v>0</v>
      </c>
    </row>
    <row r="73" spans="1:3" s="391" customFormat="1" ht="12" customHeight="1">
      <c r="A73" s="15" t="s">
        <v>146</v>
      </c>
      <c r="B73" s="392" t="s">
        <v>308</v>
      </c>
      <c r="C73" s="279"/>
    </row>
    <row r="74" spans="1:3" s="391" customFormat="1" ht="12" customHeight="1">
      <c r="A74" s="14" t="s">
        <v>147</v>
      </c>
      <c r="B74" s="393" t="s">
        <v>558</v>
      </c>
      <c r="C74" s="279"/>
    </row>
    <row r="75" spans="1:3" s="391" customFormat="1" ht="12" customHeight="1" thickBot="1">
      <c r="A75" s="16" t="s">
        <v>331</v>
      </c>
      <c r="B75" s="394" t="s">
        <v>309</v>
      </c>
      <c r="C75" s="380"/>
    </row>
    <row r="76" spans="1:3" s="391" customFormat="1" ht="12" customHeight="1" thickBot="1">
      <c r="A76" s="540" t="s">
        <v>332</v>
      </c>
      <c r="B76" s="541" t="s">
        <v>559</v>
      </c>
      <c r="C76" s="542"/>
    </row>
    <row r="77" spans="1:3" s="391" customFormat="1" ht="12" customHeight="1" thickBot="1">
      <c r="A77" s="439" t="s">
        <v>310</v>
      </c>
      <c r="B77" s="269" t="s">
        <v>311</v>
      </c>
      <c r="C77" s="274">
        <f>SUM(C78:C79)</f>
        <v>272412365</v>
      </c>
    </row>
    <row r="78" spans="1:3" s="391" customFormat="1" ht="12" customHeight="1" thickBot="1">
      <c r="A78" s="13" t="s">
        <v>333</v>
      </c>
      <c r="B78" s="539" t="s">
        <v>312</v>
      </c>
      <c r="C78" s="380">
        <v>272412365</v>
      </c>
    </row>
    <row r="79" spans="1:3" s="391" customFormat="1" ht="12" customHeight="1" thickBot="1">
      <c r="A79" s="540" t="s">
        <v>334</v>
      </c>
      <c r="B79" s="541" t="s">
        <v>313</v>
      </c>
      <c r="C79" s="542"/>
    </row>
    <row r="80" spans="1:3" s="391" customFormat="1" ht="12" customHeight="1" thickBot="1">
      <c r="A80" s="439" t="s">
        <v>314</v>
      </c>
      <c r="B80" s="269" t="s">
        <v>315</v>
      </c>
      <c r="C80" s="274">
        <f>SUM(C81:C83)</f>
        <v>0</v>
      </c>
    </row>
    <row r="81" spans="1:3" s="391" customFormat="1" ht="12" customHeight="1">
      <c r="A81" s="15" t="s">
        <v>335</v>
      </c>
      <c r="B81" s="392" t="s">
        <v>316</v>
      </c>
      <c r="C81" s="279"/>
    </row>
    <row r="82" spans="1:3" s="391" customFormat="1" ht="12" customHeight="1">
      <c r="A82" s="14" t="s">
        <v>336</v>
      </c>
      <c r="B82" s="393" t="s">
        <v>317</v>
      </c>
      <c r="C82" s="279"/>
    </row>
    <row r="83" spans="1:3" s="391" customFormat="1" ht="12" customHeight="1" thickBot="1">
      <c r="A83" s="18" t="s">
        <v>337</v>
      </c>
      <c r="B83" s="543" t="s">
        <v>560</v>
      </c>
      <c r="C83" s="544"/>
    </row>
    <row r="84" spans="1:3" s="391" customFormat="1" ht="12" customHeight="1" thickBot="1">
      <c r="A84" s="439" t="s">
        <v>318</v>
      </c>
      <c r="B84" s="269" t="s">
        <v>338</v>
      </c>
      <c r="C84" s="274">
        <f>SUM(C85:C88)</f>
        <v>0</v>
      </c>
    </row>
    <row r="85" spans="1:3" s="391" customFormat="1" ht="12" customHeight="1">
      <c r="A85" s="396" t="s">
        <v>319</v>
      </c>
      <c r="B85" s="392" t="s">
        <v>320</v>
      </c>
      <c r="C85" s="279"/>
    </row>
    <row r="86" spans="1:3" s="391" customFormat="1" ht="12" customHeight="1">
      <c r="A86" s="397" t="s">
        <v>321</v>
      </c>
      <c r="B86" s="393" t="s">
        <v>322</v>
      </c>
      <c r="C86" s="279"/>
    </row>
    <row r="87" spans="1:3" s="391" customFormat="1" ht="12" customHeight="1">
      <c r="A87" s="397" t="s">
        <v>323</v>
      </c>
      <c r="B87" s="393" t="s">
        <v>324</v>
      </c>
      <c r="C87" s="279"/>
    </row>
    <row r="88" spans="1:3" s="391" customFormat="1" ht="12" customHeight="1" thickBot="1">
      <c r="A88" s="398" t="s">
        <v>325</v>
      </c>
      <c r="B88" s="271" t="s">
        <v>326</v>
      </c>
      <c r="C88" s="279"/>
    </row>
    <row r="89" spans="1:3" s="391" customFormat="1" ht="12" customHeight="1" thickBot="1">
      <c r="A89" s="439" t="s">
        <v>327</v>
      </c>
      <c r="B89" s="269" t="s">
        <v>467</v>
      </c>
      <c r="C89" s="437"/>
    </row>
    <row r="90" spans="1:3" s="391" customFormat="1" ht="13.5" customHeight="1" thickBot="1">
      <c r="A90" s="439" t="s">
        <v>329</v>
      </c>
      <c r="B90" s="269" t="s">
        <v>328</v>
      </c>
      <c r="C90" s="437"/>
    </row>
    <row r="91" spans="1:3" s="391" customFormat="1" ht="15.75" customHeight="1" thickBot="1">
      <c r="A91" s="439" t="s">
        <v>341</v>
      </c>
      <c r="B91" s="399" t="s">
        <v>470</v>
      </c>
      <c r="C91" s="280">
        <f>+C68+C72+C77+C80+C84+C90+C89</f>
        <v>272412365</v>
      </c>
    </row>
    <row r="92" spans="1:3" s="391" customFormat="1" ht="16.5" customHeight="1" thickBot="1">
      <c r="A92" s="440" t="s">
        <v>469</v>
      </c>
      <c r="B92" s="400" t="s">
        <v>471</v>
      </c>
      <c r="C92" s="280">
        <f>+C67+C91</f>
        <v>809846000</v>
      </c>
    </row>
    <row r="93" spans="1:3" s="391" customFormat="1" ht="10.5" customHeight="1">
      <c r="A93" s="5"/>
      <c r="B93" s="6"/>
      <c r="C93" s="281"/>
    </row>
    <row r="94" spans="1:3" ht="16.5" customHeight="1">
      <c r="A94" s="757" t="s">
        <v>47</v>
      </c>
      <c r="B94" s="757"/>
      <c r="C94" s="757"/>
    </row>
    <row r="95" spans="1:3" s="401" customFormat="1" ht="16.5" customHeight="1" thickBot="1">
      <c r="A95" s="754" t="s">
        <v>150</v>
      </c>
      <c r="B95" s="754"/>
      <c r="C95" s="551" t="str">
        <f>C7</f>
        <v>Forintban!</v>
      </c>
    </row>
    <row r="96" spans="1:3" ht="30" customHeight="1" thickBot="1">
      <c r="A96" s="532" t="s">
        <v>69</v>
      </c>
      <c r="B96" s="533" t="s">
        <v>48</v>
      </c>
      <c r="C96" s="534" t="str">
        <f>+C8</f>
        <v>2020. évi előirányzat</v>
      </c>
    </row>
    <row r="97" spans="1:3" s="390" customFormat="1" ht="12" customHeight="1" thickBot="1">
      <c r="A97" s="532"/>
      <c r="B97" s="533" t="s">
        <v>485</v>
      </c>
      <c r="C97" s="534" t="s">
        <v>486</v>
      </c>
    </row>
    <row r="98" spans="1:3" ht="12" customHeight="1" thickBot="1">
      <c r="A98" s="22" t="s">
        <v>18</v>
      </c>
      <c r="B98" s="28" t="s">
        <v>429</v>
      </c>
      <c r="C98" s="273">
        <f>C99+C100+C101+C102+C103+C116</f>
        <v>340900806</v>
      </c>
    </row>
    <row r="99" spans="1:3" ht="12" customHeight="1">
      <c r="A99" s="17" t="s">
        <v>97</v>
      </c>
      <c r="B99" s="10" t="s">
        <v>49</v>
      </c>
      <c r="C99" s="275">
        <v>72794405</v>
      </c>
    </row>
    <row r="100" spans="1:3" ht="12" customHeight="1">
      <c r="A100" s="14" t="s">
        <v>98</v>
      </c>
      <c r="B100" s="8" t="s">
        <v>179</v>
      </c>
      <c r="C100" s="276">
        <v>13755075</v>
      </c>
    </row>
    <row r="101" spans="1:3" ht="12" customHeight="1">
      <c r="A101" s="14" t="s">
        <v>99</v>
      </c>
      <c r="B101" s="8" t="s">
        <v>137</v>
      </c>
      <c r="C101" s="278">
        <v>164948250</v>
      </c>
    </row>
    <row r="102" spans="1:3" ht="12" customHeight="1">
      <c r="A102" s="14" t="s">
        <v>100</v>
      </c>
      <c r="B102" s="11" t="s">
        <v>180</v>
      </c>
      <c r="C102" s="278">
        <v>300000</v>
      </c>
    </row>
    <row r="103" spans="1:3" ht="12" customHeight="1">
      <c r="A103" s="14" t="s">
        <v>111</v>
      </c>
      <c r="B103" s="19" t="s">
        <v>181</v>
      </c>
      <c r="C103" s="278">
        <v>78882842</v>
      </c>
    </row>
    <row r="104" spans="1:3" ht="12" customHeight="1">
      <c r="A104" s="14" t="s">
        <v>101</v>
      </c>
      <c r="B104" s="8" t="s">
        <v>434</v>
      </c>
      <c r="C104" s="278"/>
    </row>
    <row r="105" spans="1:3" ht="12" customHeight="1">
      <c r="A105" s="14" t="s">
        <v>102</v>
      </c>
      <c r="B105" s="138" t="s">
        <v>433</v>
      </c>
      <c r="C105" s="278"/>
    </row>
    <row r="106" spans="1:3" ht="12" customHeight="1">
      <c r="A106" s="14" t="s">
        <v>112</v>
      </c>
      <c r="B106" s="138" t="s">
        <v>432</v>
      </c>
      <c r="C106" s="278"/>
    </row>
    <row r="107" spans="1:3" ht="12" customHeight="1">
      <c r="A107" s="14" t="s">
        <v>113</v>
      </c>
      <c r="B107" s="136" t="s">
        <v>344</v>
      </c>
      <c r="C107" s="278"/>
    </row>
    <row r="108" spans="1:3" ht="12" customHeight="1">
      <c r="A108" s="14" t="s">
        <v>114</v>
      </c>
      <c r="B108" s="137" t="s">
        <v>345</v>
      </c>
      <c r="C108" s="278"/>
    </row>
    <row r="109" spans="1:3" ht="12" customHeight="1">
      <c r="A109" s="14" t="s">
        <v>115</v>
      </c>
      <c r="B109" s="137" t="s">
        <v>346</v>
      </c>
      <c r="C109" s="278"/>
    </row>
    <row r="110" spans="1:3" ht="12" customHeight="1">
      <c r="A110" s="14" t="s">
        <v>117</v>
      </c>
      <c r="B110" s="136" t="s">
        <v>347</v>
      </c>
      <c r="C110" s="278">
        <v>58572842</v>
      </c>
    </row>
    <row r="111" spans="1:3" ht="12" customHeight="1">
      <c r="A111" s="14" t="s">
        <v>182</v>
      </c>
      <c r="B111" s="136" t="s">
        <v>348</v>
      </c>
      <c r="C111" s="278"/>
    </row>
    <row r="112" spans="1:3" ht="12" customHeight="1">
      <c r="A112" s="14" t="s">
        <v>342</v>
      </c>
      <c r="B112" s="137" t="s">
        <v>349</v>
      </c>
      <c r="C112" s="278"/>
    </row>
    <row r="113" spans="1:3" ht="12" customHeight="1">
      <c r="A113" s="13" t="s">
        <v>343</v>
      </c>
      <c r="B113" s="138" t="s">
        <v>350</v>
      </c>
      <c r="C113" s="278"/>
    </row>
    <row r="114" spans="1:3" ht="12" customHeight="1">
      <c r="A114" s="14" t="s">
        <v>430</v>
      </c>
      <c r="B114" s="138" t="s">
        <v>351</v>
      </c>
      <c r="C114" s="278"/>
    </row>
    <row r="115" spans="1:3" ht="12" customHeight="1">
      <c r="A115" s="16" t="s">
        <v>431</v>
      </c>
      <c r="B115" s="138" t="s">
        <v>352</v>
      </c>
      <c r="C115" s="278">
        <v>20310000</v>
      </c>
    </row>
    <row r="116" spans="1:3" ht="12" customHeight="1">
      <c r="A116" s="14" t="s">
        <v>435</v>
      </c>
      <c r="B116" s="11" t="s">
        <v>50</v>
      </c>
      <c r="C116" s="276">
        <v>10220234</v>
      </c>
    </row>
    <row r="117" spans="1:3" ht="12" customHeight="1">
      <c r="A117" s="14" t="s">
        <v>436</v>
      </c>
      <c r="B117" s="8" t="s">
        <v>438</v>
      </c>
      <c r="C117" s="276">
        <v>10220234</v>
      </c>
    </row>
    <row r="118" spans="1:3" ht="12" customHeight="1" thickBot="1">
      <c r="A118" s="18" t="s">
        <v>437</v>
      </c>
      <c r="B118" s="461" t="s">
        <v>439</v>
      </c>
      <c r="C118" s="282"/>
    </row>
    <row r="119" spans="1:3" ht="12" customHeight="1" thickBot="1">
      <c r="A119" s="458" t="s">
        <v>19</v>
      </c>
      <c r="B119" s="459" t="s">
        <v>353</v>
      </c>
      <c r="C119" s="460">
        <f>+C120+C122+C124</f>
        <v>465920167</v>
      </c>
    </row>
    <row r="120" spans="1:3" ht="12" customHeight="1">
      <c r="A120" s="15" t="s">
        <v>103</v>
      </c>
      <c r="B120" s="8" t="s">
        <v>225</v>
      </c>
      <c r="C120" s="277">
        <v>41148000</v>
      </c>
    </row>
    <row r="121" spans="1:3" ht="12" customHeight="1">
      <c r="A121" s="15" t="s">
        <v>104</v>
      </c>
      <c r="B121" s="12" t="s">
        <v>357</v>
      </c>
      <c r="C121" s="277"/>
    </row>
    <row r="122" spans="1:3" ht="12" customHeight="1">
      <c r="A122" s="15" t="s">
        <v>105</v>
      </c>
      <c r="B122" s="12" t="s">
        <v>183</v>
      </c>
      <c r="C122" s="276">
        <v>424772167</v>
      </c>
    </row>
    <row r="123" spans="1:3" ht="12" customHeight="1">
      <c r="A123" s="15" t="s">
        <v>106</v>
      </c>
      <c r="B123" s="12" t="s">
        <v>358</v>
      </c>
      <c r="C123" s="245">
        <v>93405128</v>
      </c>
    </row>
    <row r="124" spans="1:3" ht="12" customHeight="1">
      <c r="A124" s="15" t="s">
        <v>107</v>
      </c>
      <c r="B124" s="271" t="s">
        <v>562</v>
      </c>
      <c r="C124" s="245"/>
    </row>
    <row r="125" spans="1:3" ht="12" customHeight="1">
      <c r="A125" s="15" t="s">
        <v>116</v>
      </c>
      <c r="B125" s="270" t="s">
        <v>420</v>
      </c>
      <c r="C125" s="245"/>
    </row>
    <row r="126" spans="1:3" ht="12" customHeight="1">
      <c r="A126" s="15" t="s">
        <v>118</v>
      </c>
      <c r="B126" s="388" t="s">
        <v>363</v>
      </c>
      <c r="C126" s="245"/>
    </row>
    <row r="127" spans="1:3" ht="15.75">
      <c r="A127" s="15" t="s">
        <v>184</v>
      </c>
      <c r="B127" s="137" t="s">
        <v>346</v>
      </c>
      <c r="C127" s="245"/>
    </row>
    <row r="128" spans="1:3" ht="12" customHeight="1">
      <c r="A128" s="15" t="s">
        <v>185</v>
      </c>
      <c r="B128" s="137" t="s">
        <v>362</v>
      </c>
      <c r="C128" s="245"/>
    </row>
    <row r="129" spans="1:3" ht="12" customHeight="1">
      <c r="A129" s="15" t="s">
        <v>186</v>
      </c>
      <c r="B129" s="137" t="s">
        <v>361</v>
      </c>
      <c r="C129" s="245"/>
    </row>
    <row r="130" spans="1:3" ht="12" customHeight="1">
      <c r="A130" s="15" t="s">
        <v>354</v>
      </c>
      <c r="B130" s="137" t="s">
        <v>349</v>
      </c>
      <c r="C130" s="245"/>
    </row>
    <row r="131" spans="1:3" ht="12" customHeight="1">
      <c r="A131" s="15" t="s">
        <v>355</v>
      </c>
      <c r="B131" s="137" t="s">
        <v>360</v>
      </c>
      <c r="C131" s="245"/>
    </row>
    <row r="132" spans="1:3" ht="16.5" thickBot="1">
      <c r="A132" s="13" t="s">
        <v>356</v>
      </c>
      <c r="B132" s="137" t="s">
        <v>359</v>
      </c>
      <c r="C132" s="247"/>
    </row>
    <row r="133" spans="1:3" ht="12" customHeight="1" thickBot="1">
      <c r="A133" s="20" t="s">
        <v>20</v>
      </c>
      <c r="B133" s="118" t="s">
        <v>440</v>
      </c>
      <c r="C133" s="274">
        <f>+C98+C119</f>
        <v>806820973</v>
      </c>
    </row>
    <row r="134" spans="1:3" ht="12" customHeight="1" thickBot="1">
      <c r="A134" s="20" t="s">
        <v>21</v>
      </c>
      <c r="B134" s="118" t="s">
        <v>441</v>
      </c>
      <c r="C134" s="274">
        <f>+C135+C136+C137</f>
        <v>0</v>
      </c>
    </row>
    <row r="135" spans="1:3" ht="12" customHeight="1">
      <c r="A135" s="15" t="s">
        <v>263</v>
      </c>
      <c r="B135" s="12" t="s">
        <v>448</v>
      </c>
      <c r="C135" s="245"/>
    </row>
    <row r="136" spans="1:3" ht="12" customHeight="1">
      <c r="A136" s="15" t="s">
        <v>264</v>
      </c>
      <c r="B136" s="12" t="s">
        <v>449</v>
      </c>
      <c r="C136" s="245"/>
    </row>
    <row r="137" spans="1:3" ht="12" customHeight="1" thickBot="1">
      <c r="A137" s="13" t="s">
        <v>265</v>
      </c>
      <c r="B137" s="12" t="s">
        <v>450</v>
      </c>
      <c r="C137" s="245"/>
    </row>
    <row r="138" spans="1:3" ht="12" customHeight="1" thickBot="1">
      <c r="A138" s="20" t="s">
        <v>22</v>
      </c>
      <c r="B138" s="118" t="s">
        <v>442</v>
      </c>
      <c r="C138" s="274">
        <f>SUM(C139:C144)</f>
        <v>0</v>
      </c>
    </row>
    <row r="139" spans="1:3" ht="12" customHeight="1">
      <c r="A139" s="15" t="s">
        <v>90</v>
      </c>
      <c r="B139" s="9" t="s">
        <v>451</v>
      </c>
      <c r="C139" s="245"/>
    </row>
    <row r="140" spans="1:3" ht="12" customHeight="1">
      <c r="A140" s="15" t="s">
        <v>91</v>
      </c>
      <c r="B140" s="9" t="s">
        <v>443</v>
      </c>
      <c r="C140" s="245"/>
    </row>
    <row r="141" spans="1:3" ht="12" customHeight="1">
      <c r="A141" s="15" t="s">
        <v>92</v>
      </c>
      <c r="B141" s="9" t="s">
        <v>444</v>
      </c>
      <c r="C141" s="245"/>
    </row>
    <row r="142" spans="1:3" ht="12" customHeight="1">
      <c r="A142" s="15" t="s">
        <v>171</v>
      </c>
      <c r="B142" s="9" t="s">
        <v>445</v>
      </c>
      <c r="C142" s="245"/>
    </row>
    <row r="143" spans="1:3" ht="12" customHeight="1">
      <c r="A143" s="13" t="s">
        <v>172</v>
      </c>
      <c r="B143" s="7" t="s">
        <v>446</v>
      </c>
      <c r="C143" s="247"/>
    </row>
    <row r="144" spans="1:3" ht="12" customHeight="1" thickBot="1">
      <c r="A144" s="18" t="s">
        <v>173</v>
      </c>
      <c r="B144" s="690" t="s">
        <v>447</v>
      </c>
      <c r="C144" s="468"/>
    </row>
    <row r="145" spans="1:3" ht="12" customHeight="1" thickBot="1">
      <c r="A145" s="20" t="s">
        <v>23</v>
      </c>
      <c r="B145" s="118" t="s">
        <v>455</v>
      </c>
      <c r="C145" s="280">
        <f>+C146+C147+C148+C149</f>
        <v>3025027</v>
      </c>
    </row>
    <row r="146" spans="1:3" ht="12" customHeight="1">
      <c r="A146" s="15" t="s">
        <v>93</v>
      </c>
      <c r="B146" s="9" t="s">
        <v>364</v>
      </c>
      <c r="C146" s="245"/>
    </row>
    <row r="147" spans="1:3" ht="12" customHeight="1">
      <c r="A147" s="15" t="s">
        <v>94</v>
      </c>
      <c r="B147" s="9" t="s">
        <v>365</v>
      </c>
      <c r="C147" s="245">
        <v>3025027</v>
      </c>
    </row>
    <row r="148" spans="1:3" ht="12" customHeight="1" thickBot="1">
      <c r="A148" s="13" t="s">
        <v>281</v>
      </c>
      <c r="B148" s="7" t="s">
        <v>456</v>
      </c>
      <c r="C148" s="247"/>
    </row>
    <row r="149" spans="1:3" ht="12" customHeight="1" thickBot="1">
      <c r="A149" s="540" t="s">
        <v>282</v>
      </c>
      <c r="B149" s="545" t="s">
        <v>383</v>
      </c>
      <c r="C149" s="546"/>
    </row>
    <row r="150" spans="1:3" ht="12" customHeight="1" thickBot="1">
      <c r="A150" s="20" t="s">
        <v>24</v>
      </c>
      <c r="B150" s="118" t="s">
        <v>457</v>
      </c>
      <c r="C150" s="283">
        <f>SUM(C151:C155)</f>
        <v>0</v>
      </c>
    </row>
    <row r="151" spans="1:3" ht="12" customHeight="1">
      <c r="A151" s="15" t="s">
        <v>95</v>
      </c>
      <c r="B151" s="9" t="s">
        <v>452</v>
      </c>
      <c r="C151" s="245"/>
    </row>
    <row r="152" spans="1:3" ht="12" customHeight="1">
      <c r="A152" s="15" t="s">
        <v>96</v>
      </c>
      <c r="B152" s="9" t="s">
        <v>459</v>
      </c>
      <c r="C152" s="245"/>
    </row>
    <row r="153" spans="1:3" ht="12" customHeight="1">
      <c r="A153" s="15" t="s">
        <v>293</v>
      </c>
      <c r="B153" s="9" t="s">
        <v>454</v>
      </c>
      <c r="C153" s="245"/>
    </row>
    <row r="154" spans="1:3" ht="12" customHeight="1">
      <c r="A154" s="15" t="s">
        <v>294</v>
      </c>
      <c r="B154" s="9" t="s">
        <v>510</v>
      </c>
      <c r="C154" s="245"/>
    </row>
    <row r="155" spans="1:3" ht="12" customHeight="1" thickBot="1">
      <c r="A155" s="15" t="s">
        <v>458</v>
      </c>
      <c r="B155" s="9" t="s">
        <v>461</v>
      </c>
      <c r="C155" s="245"/>
    </row>
    <row r="156" spans="1:3" ht="12" customHeight="1" thickBot="1">
      <c r="A156" s="20" t="s">
        <v>25</v>
      </c>
      <c r="B156" s="118" t="s">
        <v>462</v>
      </c>
      <c r="C156" s="462"/>
    </row>
    <row r="157" spans="1:3" ht="12" customHeight="1" thickBot="1">
      <c r="A157" s="20" t="s">
        <v>26</v>
      </c>
      <c r="B157" s="118" t="s">
        <v>463</v>
      </c>
      <c r="C157" s="462"/>
    </row>
    <row r="158" spans="1:9" ht="15" customHeight="1" thickBot="1">
      <c r="A158" s="20" t="s">
        <v>27</v>
      </c>
      <c r="B158" s="118" t="s">
        <v>465</v>
      </c>
      <c r="C158" s="547">
        <f>+C134+C138+C145+C150+C156+C157</f>
        <v>3025027</v>
      </c>
      <c r="F158" s="403"/>
      <c r="G158" s="404"/>
      <c r="H158" s="404"/>
      <c r="I158" s="404"/>
    </row>
    <row r="159" spans="1:3" s="391" customFormat="1" ht="17.25" customHeight="1" thickBot="1">
      <c r="A159" s="272" t="s">
        <v>28</v>
      </c>
      <c r="B159" s="548" t="s">
        <v>464</v>
      </c>
      <c r="C159" s="547">
        <f>+C133+C158</f>
        <v>809846000</v>
      </c>
    </row>
    <row r="160" spans="1:3" ht="15.75" customHeight="1">
      <c r="A160" s="603"/>
      <c r="B160" s="603"/>
      <c r="C160" s="604">
        <f>C92-C159</f>
        <v>0</v>
      </c>
    </row>
    <row r="161" spans="1:3" ht="15.75">
      <c r="A161" s="755" t="s">
        <v>366</v>
      </c>
      <c r="B161" s="755"/>
      <c r="C161" s="755"/>
    </row>
    <row r="162" spans="1:3" ht="15" customHeight="1" thickBot="1">
      <c r="A162" s="756" t="s">
        <v>151</v>
      </c>
      <c r="B162" s="756"/>
      <c r="C162" s="552" t="str">
        <f>C95</f>
        <v>Forintban!</v>
      </c>
    </row>
    <row r="163" spans="1:4" ht="13.5" customHeight="1" thickBot="1">
      <c r="A163" s="20">
        <v>1</v>
      </c>
      <c r="B163" s="27" t="s">
        <v>466</v>
      </c>
      <c r="C163" s="274">
        <f>+C67-C133</f>
        <v>-269387338</v>
      </c>
      <c r="D163" s="405"/>
    </row>
    <row r="164" spans="1:3" ht="27.75" customHeight="1" thickBot="1">
      <c r="A164" s="20" t="s">
        <v>19</v>
      </c>
      <c r="B164" s="27" t="s">
        <v>472</v>
      </c>
      <c r="C164" s="274">
        <f>+C91-C158</f>
        <v>269387338</v>
      </c>
    </row>
  </sheetData>
  <sheetProtection/>
  <mergeCells count="7">
    <mergeCell ref="B1:C1"/>
    <mergeCell ref="A6:C6"/>
    <mergeCell ref="A7:B7"/>
    <mergeCell ref="A95:B95"/>
    <mergeCell ref="A161:C161"/>
    <mergeCell ref="A162:B162"/>
    <mergeCell ref="A94:C94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42">
      <selection activeCell="C121" sqref="C121"/>
    </sheetView>
  </sheetViews>
  <sheetFormatPr defaultColWidth="9.00390625" defaultRowHeight="12.75"/>
  <cols>
    <col min="1" max="1" width="9.50390625" style="358" customWidth="1"/>
    <col min="2" max="2" width="99.375" style="358" customWidth="1"/>
    <col min="3" max="3" width="21.625" style="359" customWidth="1"/>
    <col min="4" max="4" width="9.00390625" style="389" customWidth="1"/>
    <col min="5" max="16384" width="9.375" style="389" customWidth="1"/>
  </cols>
  <sheetData>
    <row r="1" spans="1:3" ht="18.75" customHeight="1">
      <c r="A1" s="595"/>
      <c r="B1" s="750" t="str">
        <f>CONCATENATE("1.2. melléklet ",ALAPADATOK!A7," ",ALAPADATOK!B7," ",ALAPADATOK!C7," ",ALAPADATOK!D7," ",ALAPADATOK!E7," ",ALAPADATOK!F7," ",ALAPADATOK!G7," ",ALAPADATOK!H7)</f>
        <v>1.2. melléklet a 2 / 2020 ( II. 21. ) önkormányzati rendelethez</v>
      </c>
      <c r="C1" s="751"/>
    </row>
    <row r="2" spans="1:3" ht="21.75" customHeight="1">
      <c r="A2" s="596"/>
      <c r="B2" s="597" t="str">
        <f>CONCATENATE(ALAPADATOK!A3)</f>
        <v>BALATONGYÖRÖK KÖZSÉG ÖNKORMÁNYZATA</v>
      </c>
      <c r="C2" s="598"/>
    </row>
    <row r="3" spans="1:3" ht="21.75" customHeight="1">
      <c r="A3" s="598"/>
      <c r="B3" s="597" t="str">
        <f>'KV_1.1.sz.mell.'!B3</f>
        <v>2020. ÉVI KÖLTSÉGVETÉS</v>
      </c>
      <c r="C3" s="598"/>
    </row>
    <row r="4" spans="1:3" ht="21.75" customHeight="1">
      <c r="A4" s="598"/>
      <c r="B4" s="597" t="s">
        <v>567</v>
      </c>
      <c r="C4" s="598"/>
    </row>
    <row r="5" spans="1:3" ht="21.75" customHeight="1">
      <c r="A5" s="595"/>
      <c r="B5" s="595"/>
      <c r="C5" s="599"/>
    </row>
    <row r="6" spans="1:3" ht="15" customHeight="1">
      <c r="A6" s="752" t="s">
        <v>15</v>
      </c>
      <c r="B6" s="752"/>
      <c r="C6" s="752"/>
    </row>
    <row r="7" spans="1:3" ht="15" customHeight="1" thickBot="1">
      <c r="A7" s="753" t="s">
        <v>149</v>
      </c>
      <c r="B7" s="753"/>
      <c r="C7" s="550" t="str">
        <f>CONCATENATE('KV_1.1.sz.mell.'!C7)</f>
        <v>Forintban!</v>
      </c>
    </row>
    <row r="8" spans="1:3" ht="24" customHeight="1" thickBot="1">
      <c r="A8" s="600" t="s">
        <v>69</v>
      </c>
      <c r="B8" s="601" t="s">
        <v>17</v>
      </c>
      <c r="C8" s="602" t="str">
        <f>+CONCATENATE(LEFT(KV_ÖSSZEFÜGGÉSEK!A5,4),". évi előirányzat")</f>
        <v>2020. évi előirányzat</v>
      </c>
    </row>
    <row r="9" spans="1:3" s="390" customFormat="1" ht="12" customHeight="1" thickBot="1">
      <c r="A9" s="535"/>
      <c r="B9" s="536" t="s">
        <v>485</v>
      </c>
      <c r="C9" s="537" t="s">
        <v>486</v>
      </c>
    </row>
    <row r="10" spans="1:3" s="391" customFormat="1" ht="12" customHeight="1" thickBot="1">
      <c r="A10" s="20" t="s">
        <v>18</v>
      </c>
      <c r="B10" s="21" t="s">
        <v>247</v>
      </c>
      <c r="C10" s="274">
        <f>+C11+C12+C13+C14+C15+C16</f>
        <v>75625669</v>
      </c>
    </row>
    <row r="11" spans="1:3" s="391" customFormat="1" ht="12" customHeight="1">
      <c r="A11" s="15" t="s">
        <v>97</v>
      </c>
      <c r="B11" s="392" t="s">
        <v>248</v>
      </c>
      <c r="C11" s="277">
        <v>63205646</v>
      </c>
    </row>
    <row r="12" spans="1:3" s="391" customFormat="1" ht="12" customHeight="1">
      <c r="A12" s="14" t="s">
        <v>98</v>
      </c>
      <c r="B12" s="393" t="s">
        <v>249</v>
      </c>
      <c r="C12" s="276"/>
    </row>
    <row r="13" spans="1:3" s="391" customFormat="1" ht="12" customHeight="1">
      <c r="A13" s="14" t="s">
        <v>99</v>
      </c>
      <c r="B13" s="393" t="s">
        <v>539</v>
      </c>
      <c r="C13" s="276">
        <v>10620023</v>
      </c>
    </row>
    <row r="14" spans="1:3" s="391" customFormat="1" ht="12" customHeight="1">
      <c r="A14" s="14" t="s">
        <v>100</v>
      </c>
      <c r="B14" s="393" t="s">
        <v>251</v>
      </c>
      <c r="C14" s="276">
        <v>1800000</v>
      </c>
    </row>
    <row r="15" spans="1:3" s="391" customFormat="1" ht="12" customHeight="1">
      <c r="A15" s="14" t="s">
        <v>145</v>
      </c>
      <c r="B15" s="270" t="s">
        <v>424</v>
      </c>
      <c r="C15" s="276"/>
    </row>
    <row r="16" spans="1:3" s="391" customFormat="1" ht="12" customHeight="1" thickBot="1">
      <c r="A16" s="16" t="s">
        <v>101</v>
      </c>
      <c r="B16" s="271" t="s">
        <v>425</v>
      </c>
      <c r="C16" s="276"/>
    </row>
    <row r="17" spans="1:3" s="391" customFormat="1" ht="12" customHeight="1" thickBot="1">
      <c r="A17" s="20" t="s">
        <v>19</v>
      </c>
      <c r="B17" s="269" t="s">
        <v>252</v>
      </c>
      <c r="C17" s="274">
        <f>+C18+C19+C20+C21+C22</f>
        <v>0</v>
      </c>
    </row>
    <row r="18" spans="1:3" s="391" customFormat="1" ht="12" customHeight="1">
      <c r="A18" s="15" t="s">
        <v>103</v>
      </c>
      <c r="B18" s="392" t="s">
        <v>253</v>
      </c>
      <c r="C18" s="277"/>
    </row>
    <row r="19" spans="1:3" s="391" customFormat="1" ht="12" customHeight="1">
      <c r="A19" s="14" t="s">
        <v>104</v>
      </c>
      <c r="B19" s="393" t="s">
        <v>254</v>
      </c>
      <c r="C19" s="276"/>
    </row>
    <row r="20" spans="1:3" s="391" customFormat="1" ht="12" customHeight="1">
      <c r="A20" s="14" t="s">
        <v>105</v>
      </c>
      <c r="B20" s="393" t="s">
        <v>414</v>
      </c>
      <c r="C20" s="276"/>
    </row>
    <row r="21" spans="1:3" s="391" customFormat="1" ht="12" customHeight="1">
      <c r="A21" s="14" t="s">
        <v>106</v>
      </c>
      <c r="B21" s="393" t="s">
        <v>415</v>
      </c>
      <c r="C21" s="276"/>
    </row>
    <row r="22" spans="1:3" s="391" customFormat="1" ht="12" customHeight="1">
      <c r="A22" s="14" t="s">
        <v>107</v>
      </c>
      <c r="B22" s="393" t="s">
        <v>561</v>
      </c>
      <c r="C22" s="276"/>
    </row>
    <row r="23" spans="1:3" s="391" customFormat="1" ht="12" customHeight="1" thickBot="1">
      <c r="A23" s="16" t="s">
        <v>116</v>
      </c>
      <c r="B23" s="271" t="s">
        <v>256</v>
      </c>
      <c r="C23" s="278"/>
    </row>
    <row r="24" spans="1:3" s="391" customFormat="1" ht="12" customHeight="1" thickBot="1">
      <c r="A24" s="20" t="s">
        <v>20</v>
      </c>
      <c r="B24" s="21" t="s">
        <v>257</v>
      </c>
      <c r="C24" s="274">
        <f>+C25+C26+C27+C28+C29</f>
        <v>75437138</v>
      </c>
    </row>
    <row r="25" spans="1:3" s="391" customFormat="1" ht="12" customHeight="1">
      <c r="A25" s="15" t="s">
        <v>86</v>
      </c>
      <c r="B25" s="392" t="s">
        <v>258</v>
      </c>
      <c r="C25" s="277">
        <v>2607000</v>
      </c>
    </row>
    <row r="26" spans="1:3" s="391" customFormat="1" ht="12" customHeight="1">
      <c r="A26" s="14" t="s">
        <v>87</v>
      </c>
      <c r="B26" s="393" t="s">
        <v>259</v>
      </c>
      <c r="C26" s="276"/>
    </row>
    <row r="27" spans="1:3" s="391" customFormat="1" ht="12" customHeight="1">
      <c r="A27" s="14" t="s">
        <v>88</v>
      </c>
      <c r="B27" s="393" t="s">
        <v>416</v>
      </c>
      <c r="C27" s="276"/>
    </row>
    <row r="28" spans="1:3" s="391" customFormat="1" ht="12" customHeight="1">
      <c r="A28" s="14" t="s">
        <v>89</v>
      </c>
      <c r="B28" s="393" t="s">
        <v>417</v>
      </c>
      <c r="C28" s="276"/>
    </row>
    <row r="29" spans="1:3" s="391" customFormat="1" ht="12" customHeight="1">
      <c r="A29" s="14" t="s">
        <v>167</v>
      </c>
      <c r="B29" s="393" t="s">
        <v>260</v>
      </c>
      <c r="C29" s="276">
        <v>72830138</v>
      </c>
    </row>
    <row r="30" spans="1:3" s="529" customFormat="1" ht="12" customHeight="1" thickBot="1">
      <c r="A30" s="538" t="s">
        <v>168</v>
      </c>
      <c r="B30" s="527" t="s">
        <v>556</v>
      </c>
      <c r="C30" s="528">
        <v>64830138</v>
      </c>
    </row>
    <row r="31" spans="1:3" s="391" customFormat="1" ht="12" customHeight="1" thickBot="1">
      <c r="A31" s="20" t="s">
        <v>169</v>
      </c>
      <c r="B31" s="21" t="s">
        <v>540</v>
      </c>
      <c r="C31" s="280">
        <f>SUM(C32:C38)</f>
        <v>160000000</v>
      </c>
    </row>
    <row r="32" spans="1:3" s="391" customFormat="1" ht="12" customHeight="1">
      <c r="A32" s="15" t="s">
        <v>263</v>
      </c>
      <c r="B32" s="392" t="str">
        <f>'KV_1.1.sz.mell.'!B32</f>
        <v>Építményadó</v>
      </c>
      <c r="C32" s="277">
        <v>80000000</v>
      </c>
    </row>
    <row r="33" spans="1:3" s="391" customFormat="1" ht="12" customHeight="1">
      <c r="A33" s="14" t="s">
        <v>264</v>
      </c>
      <c r="B33" s="392" t="str">
        <f>'KV_1.1.sz.mell.'!B33</f>
        <v>Telekadó</v>
      </c>
      <c r="C33" s="276">
        <v>12000000</v>
      </c>
    </row>
    <row r="34" spans="1:3" s="391" customFormat="1" ht="12" customHeight="1">
      <c r="A34" s="14" t="s">
        <v>265</v>
      </c>
      <c r="B34" s="392" t="str">
        <f>'KV_1.1.sz.mell.'!B34</f>
        <v>Iparűzési adó</v>
      </c>
      <c r="C34" s="276">
        <v>32000000</v>
      </c>
    </row>
    <row r="35" spans="1:3" s="391" customFormat="1" ht="12" customHeight="1">
      <c r="A35" s="14" t="s">
        <v>266</v>
      </c>
      <c r="B35" s="392" t="str">
        <f>'KV_1.1.sz.mell.'!B35</f>
        <v>Idegenforgalmi adó</v>
      </c>
      <c r="C35" s="276">
        <v>28000000</v>
      </c>
    </row>
    <row r="36" spans="1:3" s="391" customFormat="1" ht="12" customHeight="1">
      <c r="A36" s="14" t="s">
        <v>541</v>
      </c>
      <c r="B36" s="392" t="str">
        <f>'KV_1.1.sz.mell.'!B36</f>
        <v>Gépjárműadó</v>
      </c>
      <c r="C36" s="276">
        <v>4500000</v>
      </c>
    </row>
    <row r="37" spans="1:3" s="391" customFormat="1" ht="12" customHeight="1">
      <c r="A37" s="14" t="s">
        <v>542</v>
      </c>
      <c r="B37" s="392" t="str">
        <f>'KV_1.1.sz.mell.'!B37</f>
        <v>Települési adó</v>
      </c>
      <c r="C37" s="276">
        <v>2500000</v>
      </c>
    </row>
    <row r="38" spans="1:3" s="391" customFormat="1" ht="12" customHeight="1" thickBot="1">
      <c r="A38" s="16" t="s">
        <v>543</v>
      </c>
      <c r="B38" s="392" t="str">
        <f>'KV_1.1.sz.mell.'!B38</f>
        <v>Egyéb adó</v>
      </c>
      <c r="C38" s="278">
        <v>1000000</v>
      </c>
    </row>
    <row r="39" spans="1:3" s="391" customFormat="1" ht="12" customHeight="1" thickBot="1">
      <c r="A39" s="20" t="s">
        <v>22</v>
      </c>
      <c r="B39" s="21" t="s">
        <v>426</v>
      </c>
      <c r="C39" s="274">
        <f>SUM(C40:C50)</f>
        <v>25227828</v>
      </c>
    </row>
    <row r="40" spans="1:3" s="391" customFormat="1" ht="12" customHeight="1">
      <c r="A40" s="15" t="s">
        <v>90</v>
      </c>
      <c r="B40" s="392" t="s">
        <v>270</v>
      </c>
      <c r="C40" s="277"/>
    </row>
    <row r="41" spans="1:3" s="391" customFormat="1" ht="12" customHeight="1">
      <c r="A41" s="14" t="s">
        <v>91</v>
      </c>
      <c r="B41" s="393" t="s">
        <v>271</v>
      </c>
      <c r="C41" s="276">
        <v>16400000</v>
      </c>
    </row>
    <row r="42" spans="1:3" s="391" customFormat="1" ht="12" customHeight="1">
      <c r="A42" s="14" t="s">
        <v>92</v>
      </c>
      <c r="B42" s="393" t="s">
        <v>272</v>
      </c>
      <c r="C42" s="276">
        <v>2100000</v>
      </c>
    </row>
    <row r="43" spans="1:3" s="391" customFormat="1" ht="12" customHeight="1">
      <c r="A43" s="14" t="s">
        <v>171</v>
      </c>
      <c r="B43" s="393" t="s">
        <v>273</v>
      </c>
      <c r="C43" s="276"/>
    </row>
    <row r="44" spans="1:3" s="391" customFormat="1" ht="12" customHeight="1">
      <c r="A44" s="14" t="s">
        <v>172</v>
      </c>
      <c r="B44" s="393" t="s">
        <v>274</v>
      </c>
      <c r="C44" s="276">
        <v>3800000</v>
      </c>
    </row>
    <row r="45" spans="1:3" s="391" customFormat="1" ht="12" customHeight="1">
      <c r="A45" s="14" t="s">
        <v>173</v>
      </c>
      <c r="B45" s="393" t="s">
        <v>275</v>
      </c>
      <c r="C45" s="276">
        <v>2408400</v>
      </c>
    </row>
    <row r="46" spans="1:3" s="391" customFormat="1" ht="12" customHeight="1">
      <c r="A46" s="14" t="s">
        <v>174</v>
      </c>
      <c r="B46" s="393" t="s">
        <v>276</v>
      </c>
      <c r="C46" s="276"/>
    </row>
    <row r="47" spans="1:3" s="391" customFormat="1" ht="12" customHeight="1">
      <c r="A47" s="14" t="s">
        <v>175</v>
      </c>
      <c r="B47" s="393" t="s">
        <v>547</v>
      </c>
      <c r="C47" s="276"/>
    </row>
    <row r="48" spans="1:3" s="391" customFormat="1" ht="12" customHeight="1">
      <c r="A48" s="14" t="s">
        <v>268</v>
      </c>
      <c r="B48" s="393" t="s">
        <v>278</v>
      </c>
      <c r="C48" s="279">
        <v>19428</v>
      </c>
    </row>
    <row r="49" spans="1:3" s="391" customFormat="1" ht="12" customHeight="1">
      <c r="A49" s="16" t="s">
        <v>269</v>
      </c>
      <c r="B49" s="394" t="s">
        <v>428</v>
      </c>
      <c r="C49" s="380"/>
    </row>
    <row r="50" spans="1:3" s="391" customFormat="1" ht="12" customHeight="1" thickBot="1">
      <c r="A50" s="16" t="s">
        <v>427</v>
      </c>
      <c r="B50" s="271" t="s">
        <v>279</v>
      </c>
      <c r="C50" s="380">
        <v>500000</v>
      </c>
    </row>
    <row r="51" spans="1:3" s="391" customFormat="1" ht="12" customHeight="1" thickBot="1">
      <c r="A51" s="20" t="s">
        <v>23</v>
      </c>
      <c r="B51" s="21" t="s">
        <v>280</v>
      </c>
      <c r="C51" s="274">
        <f>SUM(C52:C56)</f>
        <v>5580000</v>
      </c>
    </row>
    <row r="52" spans="1:3" s="391" customFormat="1" ht="12" customHeight="1">
      <c r="A52" s="15" t="s">
        <v>93</v>
      </c>
      <c r="B52" s="392" t="s">
        <v>284</v>
      </c>
      <c r="C52" s="436"/>
    </row>
    <row r="53" spans="1:3" s="391" customFormat="1" ht="12" customHeight="1">
      <c r="A53" s="14" t="s">
        <v>94</v>
      </c>
      <c r="B53" s="393" t="s">
        <v>285</v>
      </c>
      <c r="C53" s="279">
        <v>5580000</v>
      </c>
    </row>
    <row r="54" spans="1:3" s="391" customFormat="1" ht="12" customHeight="1">
      <c r="A54" s="14" t="s">
        <v>281</v>
      </c>
      <c r="B54" s="393" t="s">
        <v>286</v>
      </c>
      <c r="C54" s="279"/>
    </row>
    <row r="55" spans="1:3" s="391" customFormat="1" ht="12" customHeight="1">
      <c r="A55" s="14" t="s">
        <v>282</v>
      </c>
      <c r="B55" s="393" t="s">
        <v>287</v>
      </c>
      <c r="C55" s="279"/>
    </row>
    <row r="56" spans="1:3" s="391" customFormat="1" ht="12" customHeight="1" thickBot="1">
      <c r="A56" s="16" t="s">
        <v>283</v>
      </c>
      <c r="B56" s="271" t="s">
        <v>288</v>
      </c>
      <c r="C56" s="380"/>
    </row>
    <row r="57" spans="1:3" s="391" customFormat="1" ht="12" customHeight="1" thickBot="1">
      <c r="A57" s="20" t="s">
        <v>176</v>
      </c>
      <c r="B57" s="21" t="s">
        <v>289</v>
      </c>
      <c r="C57" s="274">
        <f>SUM(C58:C60)</f>
        <v>0</v>
      </c>
    </row>
    <row r="58" spans="1:3" s="391" customFormat="1" ht="12" customHeight="1">
      <c r="A58" s="15" t="s">
        <v>95</v>
      </c>
      <c r="B58" s="392" t="s">
        <v>290</v>
      </c>
      <c r="C58" s="277"/>
    </row>
    <row r="59" spans="1:3" s="391" customFormat="1" ht="12" customHeight="1">
      <c r="A59" s="14" t="s">
        <v>96</v>
      </c>
      <c r="B59" s="393" t="s">
        <v>418</v>
      </c>
      <c r="C59" s="276"/>
    </row>
    <row r="60" spans="1:3" s="391" customFormat="1" ht="12" customHeight="1">
      <c r="A60" s="14" t="s">
        <v>293</v>
      </c>
      <c r="B60" s="393" t="s">
        <v>291</v>
      </c>
      <c r="C60" s="276"/>
    </row>
    <row r="61" spans="1:3" s="391" customFormat="1" ht="12" customHeight="1" thickBot="1">
      <c r="A61" s="16" t="s">
        <v>294</v>
      </c>
      <c r="B61" s="271" t="s">
        <v>292</v>
      </c>
      <c r="C61" s="278"/>
    </row>
    <row r="62" spans="1:3" s="391" customFormat="1" ht="12" customHeight="1" thickBot="1">
      <c r="A62" s="20" t="s">
        <v>25</v>
      </c>
      <c r="B62" s="269" t="s">
        <v>295</v>
      </c>
      <c r="C62" s="274">
        <f>SUM(C63:C65)</f>
        <v>0</v>
      </c>
    </row>
    <row r="63" spans="1:3" s="391" customFormat="1" ht="12" customHeight="1">
      <c r="A63" s="15" t="s">
        <v>177</v>
      </c>
      <c r="B63" s="392" t="s">
        <v>297</v>
      </c>
      <c r="C63" s="279"/>
    </row>
    <row r="64" spans="1:3" s="391" customFormat="1" ht="12" customHeight="1">
      <c r="A64" s="14" t="s">
        <v>178</v>
      </c>
      <c r="B64" s="393" t="s">
        <v>419</v>
      </c>
      <c r="C64" s="279"/>
    </row>
    <row r="65" spans="1:3" s="391" customFormat="1" ht="12" customHeight="1">
      <c r="A65" s="14" t="s">
        <v>226</v>
      </c>
      <c r="B65" s="393" t="s">
        <v>298</v>
      </c>
      <c r="C65" s="279"/>
    </row>
    <row r="66" spans="1:3" s="391" customFormat="1" ht="12" customHeight="1" thickBot="1">
      <c r="A66" s="16" t="s">
        <v>296</v>
      </c>
      <c r="B66" s="271" t="s">
        <v>299</v>
      </c>
      <c r="C66" s="279"/>
    </row>
    <row r="67" spans="1:3" s="391" customFormat="1" ht="12" customHeight="1" thickBot="1">
      <c r="A67" s="463" t="s">
        <v>468</v>
      </c>
      <c r="B67" s="21" t="s">
        <v>300</v>
      </c>
      <c r="C67" s="280">
        <f>+C10+C17+C24+C31+C39+C51+C57+C62</f>
        <v>341870635</v>
      </c>
    </row>
    <row r="68" spans="1:3" s="391" customFormat="1" ht="12" customHeight="1" thickBot="1">
      <c r="A68" s="439" t="s">
        <v>301</v>
      </c>
      <c r="B68" s="269" t="s">
        <v>302</v>
      </c>
      <c r="C68" s="274">
        <f>SUM(C69:C71)</f>
        <v>0</v>
      </c>
    </row>
    <row r="69" spans="1:3" s="391" customFormat="1" ht="12" customHeight="1">
      <c r="A69" s="15" t="s">
        <v>330</v>
      </c>
      <c r="B69" s="392" t="s">
        <v>303</v>
      </c>
      <c r="C69" s="279"/>
    </row>
    <row r="70" spans="1:3" s="391" customFormat="1" ht="12" customHeight="1">
      <c r="A70" s="14" t="s">
        <v>339</v>
      </c>
      <c r="B70" s="393" t="s">
        <v>304</v>
      </c>
      <c r="C70" s="279"/>
    </row>
    <row r="71" spans="1:3" s="391" customFormat="1" ht="12" customHeight="1" thickBot="1">
      <c r="A71" s="16" t="s">
        <v>340</v>
      </c>
      <c r="B71" s="457" t="s">
        <v>557</v>
      </c>
      <c r="C71" s="279"/>
    </row>
    <row r="72" spans="1:3" s="391" customFormat="1" ht="12" customHeight="1" thickBot="1">
      <c r="A72" s="439" t="s">
        <v>306</v>
      </c>
      <c r="B72" s="269" t="s">
        <v>307</v>
      </c>
      <c r="C72" s="274">
        <f>SUM(C73:C76)</f>
        <v>0</v>
      </c>
    </row>
    <row r="73" spans="1:3" s="391" customFormat="1" ht="12" customHeight="1">
      <c r="A73" s="15" t="s">
        <v>146</v>
      </c>
      <c r="B73" s="392" t="s">
        <v>308</v>
      </c>
      <c r="C73" s="279"/>
    </row>
    <row r="74" spans="1:3" s="391" customFormat="1" ht="12" customHeight="1">
      <c r="A74" s="14" t="s">
        <v>147</v>
      </c>
      <c r="B74" s="393" t="s">
        <v>558</v>
      </c>
      <c r="C74" s="279"/>
    </row>
    <row r="75" spans="1:3" s="391" customFormat="1" ht="12" customHeight="1" thickBot="1">
      <c r="A75" s="16" t="s">
        <v>331</v>
      </c>
      <c r="B75" s="394" t="s">
        <v>309</v>
      </c>
      <c r="C75" s="380"/>
    </row>
    <row r="76" spans="1:3" s="391" customFormat="1" ht="12" customHeight="1" thickBot="1">
      <c r="A76" s="540" t="s">
        <v>332</v>
      </c>
      <c r="B76" s="541" t="s">
        <v>559</v>
      </c>
      <c r="C76" s="542"/>
    </row>
    <row r="77" spans="1:3" s="391" customFormat="1" ht="12" customHeight="1" thickBot="1">
      <c r="A77" s="439" t="s">
        <v>310</v>
      </c>
      <c r="B77" s="269" t="s">
        <v>311</v>
      </c>
      <c r="C77" s="274">
        <f>SUM(C78:C79)</f>
        <v>272412365</v>
      </c>
    </row>
    <row r="78" spans="1:3" s="391" customFormat="1" ht="12" customHeight="1" thickBot="1">
      <c r="A78" s="13" t="s">
        <v>333</v>
      </c>
      <c r="B78" s="539" t="s">
        <v>312</v>
      </c>
      <c r="C78" s="380">
        <v>272412365</v>
      </c>
    </row>
    <row r="79" spans="1:3" s="391" customFormat="1" ht="12" customHeight="1" thickBot="1">
      <c r="A79" s="540" t="s">
        <v>334</v>
      </c>
      <c r="B79" s="541" t="s">
        <v>313</v>
      </c>
      <c r="C79" s="542"/>
    </row>
    <row r="80" spans="1:3" s="391" customFormat="1" ht="12" customHeight="1" thickBot="1">
      <c r="A80" s="439" t="s">
        <v>314</v>
      </c>
      <c r="B80" s="269" t="s">
        <v>315</v>
      </c>
      <c r="C80" s="274">
        <f>SUM(C81:C83)</f>
        <v>0</v>
      </c>
    </row>
    <row r="81" spans="1:3" s="391" customFormat="1" ht="12" customHeight="1">
      <c r="A81" s="15" t="s">
        <v>335</v>
      </c>
      <c r="B81" s="392" t="s">
        <v>316</v>
      </c>
      <c r="C81" s="279"/>
    </row>
    <row r="82" spans="1:3" s="391" customFormat="1" ht="12" customHeight="1">
      <c r="A82" s="14" t="s">
        <v>336</v>
      </c>
      <c r="B82" s="393" t="s">
        <v>317</v>
      </c>
      <c r="C82" s="279"/>
    </row>
    <row r="83" spans="1:3" s="391" customFormat="1" ht="12" customHeight="1" thickBot="1">
      <c r="A83" s="18" t="s">
        <v>337</v>
      </c>
      <c r="B83" s="543" t="s">
        <v>560</v>
      </c>
      <c r="C83" s="544"/>
    </row>
    <row r="84" spans="1:3" s="391" customFormat="1" ht="12" customHeight="1" thickBot="1">
      <c r="A84" s="439" t="s">
        <v>318</v>
      </c>
      <c r="B84" s="269" t="s">
        <v>338</v>
      </c>
      <c r="C84" s="274">
        <f>SUM(C85:C88)</f>
        <v>0</v>
      </c>
    </row>
    <row r="85" spans="1:3" s="391" customFormat="1" ht="12" customHeight="1">
      <c r="A85" s="396" t="s">
        <v>319</v>
      </c>
      <c r="B85" s="392" t="s">
        <v>320</v>
      </c>
      <c r="C85" s="279"/>
    </row>
    <row r="86" spans="1:3" s="391" customFormat="1" ht="12" customHeight="1">
      <c r="A86" s="397" t="s">
        <v>321</v>
      </c>
      <c r="B86" s="393" t="s">
        <v>322</v>
      </c>
      <c r="C86" s="279"/>
    </row>
    <row r="87" spans="1:3" s="391" customFormat="1" ht="12" customHeight="1">
      <c r="A87" s="397" t="s">
        <v>323</v>
      </c>
      <c r="B87" s="393" t="s">
        <v>324</v>
      </c>
      <c r="C87" s="279"/>
    </row>
    <row r="88" spans="1:3" s="391" customFormat="1" ht="12" customHeight="1" thickBot="1">
      <c r="A88" s="398" t="s">
        <v>325</v>
      </c>
      <c r="B88" s="271" t="s">
        <v>326</v>
      </c>
      <c r="C88" s="279"/>
    </row>
    <row r="89" spans="1:3" s="391" customFormat="1" ht="12" customHeight="1" thickBot="1">
      <c r="A89" s="439" t="s">
        <v>327</v>
      </c>
      <c r="B89" s="269" t="s">
        <v>467</v>
      </c>
      <c r="C89" s="437"/>
    </row>
    <row r="90" spans="1:3" s="391" customFormat="1" ht="13.5" customHeight="1" thickBot="1">
      <c r="A90" s="439" t="s">
        <v>329</v>
      </c>
      <c r="B90" s="269" t="s">
        <v>328</v>
      </c>
      <c r="C90" s="437"/>
    </row>
    <row r="91" spans="1:3" s="391" customFormat="1" ht="15.75" customHeight="1" thickBot="1">
      <c r="A91" s="439" t="s">
        <v>341</v>
      </c>
      <c r="B91" s="399" t="s">
        <v>470</v>
      </c>
      <c r="C91" s="280">
        <f>+C68+C72+C77+C80+C84+C90+C89</f>
        <v>272412365</v>
      </c>
    </row>
    <row r="92" spans="1:3" s="391" customFormat="1" ht="16.5" customHeight="1" thickBot="1">
      <c r="A92" s="440" t="s">
        <v>469</v>
      </c>
      <c r="B92" s="400" t="s">
        <v>471</v>
      </c>
      <c r="C92" s="280">
        <f>+C67+C91</f>
        <v>614283000</v>
      </c>
    </row>
    <row r="93" spans="1:3" s="391" customFormat="1" ht="10.5" customHeight="1">
      <c r="A93" s="5"/>
      <c r="B93" s="6"/>
      <c r="C93" s="281"/>
    </row>
    <row r="94" spans="1:3" ht="16.5" customHeight="1">
      <c r="A94" s="757" t="s">
        <v>47</v>
      </c>
      <c r="B94" s="757"/>
      <c r="C94" s="757"/>
    </row>
    <row r="95" spans="1:3" s="401" customFormat="1" ht="16.5" customHeight="1" thickBot="1">
      <c r="A95" s="754" t="s">
        <v>150</v>
      </c>
      <c r="B95" s="754"/>
      <c r="C95" s="551" t="str">
        <f>C7</f>
        <v>Forintban!</v>
      </c>
    </row>
    <row r="96" spans="1:3" ht="30" customHeight="1" thickBot="1">
      <c r="A96" s="532" t="s">
        <v>69</v>
      </c>
      <c r="B96" s="533" t="s">
        <v>48</v>
      </c>
      <c r="C96" s="534" t="str">
        <f>+C8</f>
        <v>2020. évi előirányzat</v>
      </c>
    </row>
    <row r="97" spans="1:3" s="390" customFormat="1" ht="12" customHeight="1" thickBot="1">
      <c r="A97" s="532"/>
      <c r="B97" s="533" t="s">
        <v>485</v>
      </c>
      <c r="C97" s="534" t="s">
        <v>486</v>
      </c>
    </row>
    <row r="98" spans="1:3" ht="12" customHeight="1" thickBot="1">
      <c r="A98" s="22" t="s">
        <v>18</v>
      </c>
      <c r="B98" s="28" t="s">
        <v>429</v>
      </c>
      <c r="C98" s="273">
        <f>C99+C100+C101+C102+C103+C116</f>
        <v>282460326</v>
      </c>
    </row>
    <row r="99" spans="1:3" ht="12" customHeight="1">
      <c r="A99" s="17" t="s">
        <v>97</v>
      </c>
      <c r="B99" s="10" t="s">
        <v>49</v>
      </c>
      <c r="C99" s="275">
        <v>62414405</v>
      </c>
    </row>
    <row r="100" spans="1:3" ht="12" customHeight="1">
      <c r="A100" s="14" t="s">
        <v>98</v>
      </c>
      <c r="B100" s="8" t="s">
        <v>179</v>
      </c>
      <c r="C100" s="276">
        <v>12026075</v>
      </c>
    </row>
    <row r="101" spans="1:3" ht="12" customHeight="1">
      <c r="A101" s="14" t="s">
        <v>99</v>
      </c>
      <c r="B101" s="8" t="s">
        <v>137</v>
      </c>
      <c r="C101" s="278">
        <v>118616770</v>
      </c>
    </row>
    <row r="102" spans="1:3" ht="12" customHeight="1">
      <c r="A102" s="14" t="s">
        <v>100</v>
      </c>
      <c r="B102" s="11" t="s">
        <v>180</v>
      </c>
      <c r="C102" s="278">
        <v>300000</v>
      </c>
    </row>
    <row r="103" spans="1:3" ht="12" customHeight="1">
      <c r="A103" s="14" t="s">
        <v>111</v>
      </c>
      <c r="B103" s="19" t="s">
        <v>181</v>
      </c>
      <c r="C103" s="278">
        <v>78882842</v>
      </c>
    </row>
    <row r="104" spans="1:3" ht="12" customHeight="1">
      <c r="A104" s="14" t="s">
        <v>101</v>
      </c>
      <c r="B104" s="8" t="s">
        <v>434</v>
      </c>
      <c r="C104" s="278"/>
    </row>
    <row r="105" spans="1:3" ht="12" customHeight="1">
      <c r="A105" s="14" t="s">
        <v>102</v>
      </c>
      <c r="B105" s="138" t="s">
        <v>433</v>
      </c>
      <c r="C105" s="278"/>
    </row>
    <row r="106" spans="1:3" ht="12" customHeight="1">
      <c r="A106" s="14" t="s">
        <v>112</v>
      </c>
      <c r="B106" s="138" t="s">
        <v>432</v>
      </c>
      <c r="C106" s="278"/>
    </row>
    <row r="107" spans="1:3" ht="12" customHeight="1">
      <c r="A107" s="14" t="s">
        <v>113</v>
      </c>
      <c r="B107" s="136" t="s">
        <v>344</v>
      </c>
      <c r="C107" s="278"/>
    </row>
    <row r="108" spans="1:3" ht="12" customHeight="1">
      <c r="A108" s="14" t="s">
        <v>114</v>
      </c>
      <c r="B108" s="137" t="s">
        <v>345</v>
      </c>
      <c r="C108" s="278"/>
    </row>
    <row r="109" spans="1:3" ht="12" customHeight="1">
      <c r="A109" s="14" t="s">
        <v>115</v>
      </c>
      <c r="B109" s="137" t="s">
        <v>346</v>
      </c>
      <c r="C109" s="278"/>
    </row>
    <row r="110" spans="1:3" ht="12" customHeight="1">
      <c r="A110" s="14" t="s">
        <v>117</v>
      </c>
      <c r="B110" s="136" t="s">
        <v>347</v>
      </c>
      <c r="C110" s="278">
        <v>58572842</v>
      </c>
    </row>
    <row r="111" spans="1:3" ht="12" customHeight="1">
      <c r="A111" s="14" t="s">
        <v>182</v>
      </c>
      <c r="B111" s="136" t="s">
        <v>348</v>
      </c>
      <c r="C111" s="278"/>
    </row>
    <row r="112" spans="1:3" ht="12" customHeight="1">
      <c r="A112" s="14" t="s">
        <v>342</v>
      </c>
      <c r="B112" s="137" t="s">
        <v>349</v>
      </c>
      <c r="C112" s="278"/>
    </row>
    <row r="113" spans="1:3" ht="12" customHeight="1">
      <c r="A113" s="13" t="s">
        <v>343</v>
      </c>
      <c r="B113" s="138" t="s">
        <v>350</v>
      </c>
      <c r="C113" s="278"/>
    </row>
    <row r="114" spans="1:3" ht="12" customHeight="1">
      <c r="A114" s="14" t="s">
        <v>430</v>
      </c>
      <c r="B114" s="138" t="s">
        <v>351</v>
      </c>
      <c r="C114" s="278"/>
    </row>
    <row r="115" spans="1:3" ht="12" customHeight="1">
      <c r="A115" s="16" t="s">
        <v>431</v>
      </c>
      <c r="B115" s="138" t="s">
        <v>352</v>
      </c>
      <c r="C115" s="278">
        <v>20310000</v>
      </c>
    </row>
    <row r="116" spans="1:3" ht="12" customHeight="1">
      <c r="A116" s="14" t="s">
        <v>435</v>
      </c>
      <c r="B116" s="11" t="s">
        <v>50</v>
      </c>
      <c r="C116" s="276">
        <v>10220234</v>
      </c>
    </row>
    <row r="117" spans="1:3" ht="12" customHeight="1">
      <c r="A117" s="14" t="s">
        <v>436</v>
      </c>
      <c r="B117" s="8" t="s">
        <v>438</v>
      </c>
      <c r="C117" s="276">
        <v>10220234</v>
      </c>
    </row>
    <row r="118" spans="1:3" ht="12" customHeight="1" thickBot="1">
      <c r="A118" s="18" t="s">
        <v>437</v>
      </c>
      <c r="B118" s="461" t="s">
        <v>439</v>
      </c>
      <c r="C118" s="282"/>
    </row>
    <row r="119" spans="1:3" ht="12" customHeight="1" thickBot="1">
      <c r="A119" s="458" t="s">
        <v>19</v>
      </c>
      <c r="B119" s="459" t="s">
        <v>353</v>
      </c>
      <c r="C119" s="460">
        <f>+C120+C122+C124</f>
        <v>340670167</v>
      </c>
    </row>
    <row r="120" spans="1:3" ht="12" customHeight="1">
      <c r="A120" s="15" t="s">
        <v>103</v>
      </c>
      <c r="B120" s="8" t="s">
        <v>225</v>
      </c>
      <c r="C120" s="277">
        <v>41148000</v>
      </c>
    </row>
    <row r="121" spans="1:3" ht="12" customHeight="1">
      <c r="A121" s="15" t="s">
        <v>104</v>
      </c>
      <c r="B121" s="12" t="s">
        <v>357</v>
      </c>
      <c r="C121" s="277"/>
    </row>
    <row r="122" spans="1:3" ht="12" customHeight="1">
      <c r="A122" s="15" t="s">
        <v>105</v>
      </c>
      <c r="B122" s="12" t="s">
        <v>183</v>
      </c>
      <c r="C122" s="276">
        <v>299522167</v>
      </c>
    </row>
    <row r="123" spans="1:3" ht="12" customHeight="1">
      <c r="A123" s="15" t="s">
        <v>106</v>
      </c>
      <c r="B123" s="12" t="s">
        <v>358</v>
      </c>
      <c r="C123" s="245">
        <v>93405128</v>
      </c>
    </row>
    <row r="124" spans="1:3" ht="12" customHeight="1">
      <c r="A124" s="15" t="s">
        <v>107</v>
      </c>
      <c r="B124" s="271" t="s">
        <v>562</v>
      </c>
      <c r="C124" s="245"/>
    </row>
    <row r="125" spans="1:3" ht="12" customHeight="1">
      <c r="A125" s="15" t="s">
        <v>116</v>
      </c>
      <c r="B125" s="270" t="s">
        <v>420</v>
      </c>
      <c r="C125" s="245"/>
    </row>
    <row r="126" spans="1:3" ht="12" customHeight="1">
      <c r="A126" s="15" t="s">
        <v>118</v>
      </c>
      <c r="B126" s="388" t="s">
        <v>363</v>
      </c>
      <c r="C126" s="245"/>
    </row>
    <row r="127" spans="1:3" ht="15.75">
      <c r="A127" s="15" t="s">
        <v>184</v>
      </c>
      <c r="B127" s="137" t="s">
        <v>346</v>
      </c>
      <c r="C127" s="245"/>
    </row>
    <row r="128" spans="1:3" ht="12" customHeight="1">
      <c r="A128" s="15" t="s">
        <v>185</v>
      </c>
      <c r="B128" s="137" t="s">
        <v>362</v>
      </c>
      <c r="C128" s="245"/>
    </row>
    <row r="129" spans="1:3" ht="12" customHeight="1">
      <c r="A129" s="15" t="s">
        <v>186</v>
      </c>
      <c r="B129" s="137" t="s">
        <v>361</v>
      </c>
      <c r="C129" s="245"/>
    </row>
    <row r="130" spans="1:3" ht="12" customHeight="1">
      <c r="A130" s="15" t="s">
        <v>354</v>
      </c>
      <c r="B130" s="137" t="s">
        <v>349</v>
      </c>
      <c r="C130" s="245"/>
    </row>
    <row r="131" spans="1:3" ht="12" customHeight="1">
      <c r="A131" s="15" t="s">
        <v>355</v>
      </c>
      <c r="B131" s="137" t="s">
        <v>360</v>
      </c>
      <c r="C131" s="245"/>
    </row>
    <row r="132" spans="1:3" ht="16.5" thickBot="1">
      <c r="A132" s="13" t="s">
        <v>356</v>
      </c>
      <c r="B132" s="137" t="s">
        <v>359</v>
      </c>
      <c r="C132" s="247"/>
    </row>
    <row r="133" spans="1:3" ht="12" customHeight="1" thickBot="1">
      <c r="A133" s="20" t="s">
        <v>20</v>
      </c>
      <c r="B133" s="118" t="s">
        <v>440</v>
      </c>
      <c r="C133" s="274">
        <f>+C98+C119</f>
        <v>623130493</v>
      </c>
    </row>
    <row r="134" spans="1:3" ht="12" customHeight="1" thickBot="1">
      <c r="A134" s="20" t="s">
        <v>21</v>
      </c>
      <c r="B134" s="118" t="s">
        <v>441</v>
      </c>
      <c r="C134" s="274">
        <f>+C135+C136+C137</f>
        <v>0</v>
      </c>
    </row>
    <row r="135" spans="1:3" ht="12" customHeight="1">
      <c r="A135" s="15" t="s">
        <v>263</v>
      </c>
      <c r="B135" s="12" t="s">
        <v>448</v>
      </c>
      <c r="C135" s="245"/>
    </row>
    <row r="136" spans="1:3" ht="12" customHeight="1">
      <c r="A136" s="15" t="s">
        <v>264</v>
      </c>
      <c r="B136" s="12" t="s">
        <v>449</v>
      </c>
      <c r="C136" s="245"/>
    </row>
    <row r="137" spans="1:3" ht="12" customHeight="1" thickBot="1">
      <c r="A137" s="13" t="s">
        <v>265</v>
      </c>
      <c r="B137" s="12" t="s">
        <v>450</v>
      </c>
      <c r="C137" s="245"/>
    </row>
    <row r="138" spans="1:3" ht="12" customHeight="1" thickBot="1">
      <c r="A138" s="20" t="s">
        <v>22</v>
      </c>
      <c r="B138" s="118" t="s">
        <v>442</v>
      </c>
      <c r="C138" s="274">
        <f>SUM(C139:C144)</f>
        <v>0</v>
      </c>
    </row>
    <row r="139" spans="1:3" ht="12" customHeight="1">
      <c r="A139" s="15" t="s">
        <v>90</v>
      </c>
      <c r="B139" s="9" t="s">
        <v>451</v>
      </c>
      <c r="C139" s="245"/>
    </row>
    <row r="140" spans="1:3" ht="12" customHeight="1">
      <c r="A140" s="15" t="s">
        <v>91</v>
      </c>
      <c r="B140" s="9" t="s">
        <v>443</v>
      </c>
      <c r="C140" s="245"/>
    </row>
    <row r="141" spans="1:3" ht="12" customHeight="1">
      <c r="A141" s="15" t="s">
        <v>92</v>
      </c>
      <c r="B141" s="9" t="s">
        <v>444</v>
      </c>
      <c r="C141" s="245"/>
    </row>
    <row r="142" spans="1:3" ht="12" customHeight="1">
      <c r="A142" s="15" t="s">
        <v>171</v>
      </c>
      <c r="B142" s="9" t="s">
        <v>445</v>
      </c>
      <c r="C142" s="245"/>
    </row>
    <row r="143" spans="1:3" ht="12" customHeight="1">
      <c r="A143" s="13" t="s">
        <v>172</v>
      </c>
      <c r="B143" s="7" t="s">
        <v>446</v>
      </c>
      <c r="C143" s="247"/>
    </row>
    <row r="144" spans="1:3" ht="12" customHeight="1" thickBot="1">
      <c r="A144" s="18" t="s">
        <v>173</v>
      </c>
      <c r="B144" s="690" t="s">
        <v>447</v>
      </c>
      <c r="C144" s="468"/>
    </row>
    <row r="145" spans="1:3" ht="12" customHeight="1" thickBot="1">
      <c r="A145" s="20" t="s">
        <v>23</v>
      </c>
      <c r="B145" s="118" t="s">
        <v>455</v>
      </c>
      <c r="C145" s="280">
        <f>+C146+C147+C148+C149</f>
        <v>3025027</v>
      </c>
    </row>
    <row r="146" spans="1:3" ht="12" customHeight="1">
      <c r="A146" s="15" t="s">
        <v>93</v>
      </c>
      <c r="B146" s="9" t="s">
        <v>364</v>
      </c>
      <c r="C146" s="245"/>
    </row>
    <row r="147" spans="1:3" ht="12" customHeight="1">
      <c r="A147" s="15" t="s">
        <v>94</v>
      </c>
      <c r="B147" s="9" t="s">
        <v>365</v>
      </c>
      <c r="C147" s="245">
        <v>3025027</v>
      </c>
    </row>
    <row r="148" spans="1:3" ht="12" customHeight="1" thickBot="1">
      <c r="A148" s="13" t="s">
        <v>281</v>
      </c>
      <c r="B148" s="7" t="s">
        <v>456</v>
      </c>
      <c r="C148" s="247"/>
    </row>
    <row r="149" spans="1:3" ht="12" customHeight="1" thickBot="1">
      <c r="A149" s="540" t="s">
        <v>282</v>
      </c>
      <c r="B149" s="545" t="s">
        <v>383</v>
      </c>
      <c r="C149" s="546"/>
    </row>
    <row r="150" spans="1:3" ht="12" customHeight="1" thickBot="1">
      <c r="A150" s="20" t="s">
        <v>24</v>
      </c>
      <c r="B150" s="118" t="s">
        <v>457</v>
      </c>
      <c r="C150" s="283">
        <f>SUM(C151:C155)</f>
        <v>0</v>
      </c>
    </row>
    <row r="151" spans="1:3" ht="12" customHeight="1">
      <c r="A151" s="15" t="s">
        <v>95</v>
      </c>
      <c r="B151" s="9" t="s">
        <v>452</v>
      </c>
      <c r="C151" s="245"/>
    </row>
    <row r="152" spans="1:3" ht="12" customHeight="1">
      <c r="A152" s="15" t="s">
        <v>96</v>
      </c>
      <c r="B152" s="9" t="s">
        <v>459</v>
      </c>
      <c r="C152" s="245"/>
    </row>
    <row r="153" spans="1:3" ht="12" customHeight="1">
      <c r="A153" s="15" t="s">
        <v>293</v>
      </c>
      <c r="B153" s="9" t="s">
        <v>454</v>
      </c>
      <c r="C153" s="245"/>
    </row>
    <row r="154" spans="1:3" ht="12" customHeight="1">
      <c r="A154" s="15" t="s">
        <v>294</v>
      </c>
      <c r="B154" s="9" t="s">
        <v>510</v>
      </c>
      <c r="C154" s="245"/>
    </row>
    <row r="155" spans="1:3" ht="12" customHeight="1" thickBot="1">
      <c r="A155" s="15" t="s">
        <v>458</v>
      </c>
      <c r="B155" s="9" t="s">
        <v>461</v>
      </c>
      <c r="C155" s="245"/>
    </row>
    <row r="156" spans="1:3" ht="12" customHeight="1" thickBot="1">
      <c r="A156" s="20" t="s">
        <v>25</v>
      </c>
      <c r="B156" s="118" t="s">
        <v>462</v>
      </c>
      <c r="C156" s="462"/>
    </row>
    <row r="157" spans="1:3" ht="12" customHeight="1" thickBot="1">
      <c r="A157" s="20" t="s">
        <v>26</v>
      </c>
      <c r="B157" s="118" t="s">
        <v>463</v>
      </c>
      <c r="C157" s="462"/>
    </row>
    <row r="158" spans="1:9" ht="15" customHeight="1" thickBot="1">
      <c r="A158" s="20" t="s">
        <v>27</v>
      </c>
      <c r="B158" s="118" t="s">
        <v>465</v>
      </c>
      <c r="C158" s="547">
        <f>+C134+C138+C145+C150+C156+C157</f>
        <v>3025027</v>
      </c>
      <c r="F158" s="403"/>
      <c r="G158" s="404"/>
      <c r="H158" s="404"/>
      <c r="I158" s="404"/>
    </row>
    <row r="159" spans="1:3" s="391" customFormat="1" ht="17.25" customHeight="1" thickBot="1">
      <c r="A159" s="272" t="s">
        <v>28</v>
      </c>
      <c r="B159" s="548" t="s">
        <v>464</v>
      </c>
      <c r="C159" s="547">
        <f>+C133+C158</f>
        <v>626155520</v>
      </c>
    </row>
    <row r="160" spans="1:3" ht="15.75" customHeight="1">
      <c r="A160" s="549"/>
      <c r="B160" s="549"/>
      <c r="C160" s="604">
        <f>C92-C159</f>
        <v>-11872520</v>
      </c>
    </row>
    <row r="161" spans="1:3" ht="15.75">
      <c r="A161" s="755" t="s">
        <v>366</v>
      </c>
      <c r="B161" s="755"/>
      <c r="C161" s="755"/>
    </row>
    <row r="162" spans="1:3" ht="15" customHeight="1" thickBot="1">
      <c r="A162" s="756" t="s">
        <v>151</v>
      </c>
      <c r="B162" s="756"/>
      <c r="C162" s="552" t="str">
        <f>C95</f>
        <v>Forintban!</v>
      </c>
    </row>
    <row r="163" spans="1:4" ht="13.5" customHeight="1" thickBot="1">
      <c r="A163" s="20">
        <v>1</v>
      </c>
      <c r="B163" s="27" t="s">
        <v>466</v>
      </c>
      <c r="C163" s="274">
        <f>+C67-C133</f>
        <v>-281259858</v>
      </c>
      <c r="D163" s="405"/>
    </row>
    <row r="164" spans="1:3" ht="27.75" customHeight="1" thickBot="1">
      <c r="A164" s="20" t="s">
        <v>19</v>
      </c>
      <c r="B164" s="27" t="s">
        <v>472</v>
      </c>
      <c r="C164" s="274">
        <f>+C91-C158</f>
        <v>269387338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">
      <selection activeCell="C47" sqref="C47"/>
    </sheetView>
  </sheetViews>
  <sheetFormatPr defaultColWidth="9.00390625" defaultRowHeight="12.75"/>
  <cols>
    <col min="1" max="1" width="9.50390625" style="358" customWidth="1"/>
    <col min="2" max="2" width="99.375" style="358" customWidth="1"/>
    <col min="3" max="3" width="21.625" style="359" customWidth="1"/>
    <col min="4" max="4" width="9.00390625" style="389" customWidth="1"/>
    <col min="5" max="16384" width="9.375" style="389" customWidth="1"/>
  </cols>
  <sheetData>
    <row r="1" spans="1:3" ht="18.75" customHeight="1">
      <c r="A1" s="595"/>
      <c r="B1" s="750" t="str">
        <f>CONCATENATE("1.3. melléklet ",ALAPADATOK!A7," ",ALAPADATOK!B7," ",ALAPADATOK!C7," ",ALAPADATOK!D7," ",ALAPADATOK!E7," ",ALAPADATOK!F7," ",ALAPADATOK!G7," ",ALAPADATOK!H7)</f>
        <v>1.3. melléklet a 2 / 2020 ( II. 21. ) önkormányzati rendelethez</v>
      </c>
      <c r="C1" s="751"/>
    </row>
    <row r="2" spans="1:3" ht="21.75" customHeight="1">
      <c r="A2" s="596"/>
      <c r="B2" s="597" t="str">
        <f>CONCATENATE(ALAPADATOK!A3)</f>
        <v>BALATONGYÖRÖK KÖZSÉG ÖNKORMÁNYZATA</v>
      </c>
      <c r="C2" s="598"/>
    </row>
    <row r="3" spans="1:3" ht="21.75" customHeight="1">
      <c r="A3" s="598"/>
      <c r="B3" s="597" t="str">
        <f>'KV_1.2.sz.mell.'!B3</f>
        <v>2020. ÉVI KÖLTSÉGVETÉS</v>
      </c>
      <c r="C3" s="598"/>
    </row>
    <row r="4" spans="1:3" ht="21.75" customHeight="1">
      <c r="A4" s="598"/>
      <c r="B4" s="597" t="s">
        <v>568</v>
      </c>
      <c r="C4" s="598"/>
    </row>
    <row r="5" spans="1:3" ht="21.75" customHeight="1">
      <c r="A5" s="595"/>
      <c r="B5" s="595"/>
      <c r="C5" s="599"/>
    </row>
    <row r="6" spans="1:3" ht="15" customHeight="1">
      <c r="A6" s="752" t="s">
        <v>15</v>
      </c>
      <c r="B6" s="752"/>
      <c r="C6" s="752"/>
    </row>
    <row r="7" spans="1:3" ht="15" customHeight="1" thickBot="1">
      <c r="A7" s="753" t="s">
        <v>149</v>
      </c>
      <c r="B7" s="753"/>
      <c r="C7" s="550" t="str">
        <f>CONCATENATE('KV_1.1.sz.mell.'!C7)</f>
        <v>Forintban!</v>
      </c>
    </row>
    <row r="8" spans="1:3" ht="24" customHeight="1" thickBot="1">
      <c r="A8" s="600" t="s">
        <v>69</v>
      </c>
      <c r="B8" s="601" t="s">
        <v>17</v>
      </c>
      <c r="C8" s="602" t="str">
        <f>+CONCATENATE(LEFT(KV_ÖSSZEFÜGGÉSEK!A5,4),". évi előirányzat")</f>
        <v>2020. évi előirányzat</v>
      </c>
    </row>
    <row r="9" spans="1:3" s="390" customFormat="1" ht="12" customHeight="1" thickBot="1">
      <c r="A9" s="535"/>
      <c r="B9" s="536" t="s">
        <v>485</v>
      </c>
      <c r="C9" s="537" t="s">
        <v>486</v>
      </c>
    </row>
    <row r="10" spans="1:3" s="391" customFormat="1" ht="12" customHeight="1" thickBot="1">
      <c r="A10" s="20" t="s">
        <v>18</v>
      </c>
      <c r="B10" s="21" t="s">
        <v>247</v>
      </c>
      <c r="C10" s="274">
        <f>+C11+C12+C13+C14+C15+C16</f>
        <v>0</v>
      </c>
    </row>
    <row r="11" spans="1:3" s="391" customFormat="1" ht="12" customHeight="1">
      <c r="A11" s="15" t="s">
        <v>97</v>
      </c>
      <c r="B11" s="392" t="s">
        <v>248</v>
      </c>
      <c r="C11" s="277"/>
    </row>
    <row r="12" spans="1:3" s="391" customFormat="1" ht="12" customHeight="1">
      <c r="A12" s="14" t="s">
        <v>98</v>
      </c>
      <c r="B12" s="393" t="s">
        <v>249</v>
      </c>
      <c r="C12" s="276"/>
    </row>
    <row r="13" spans="1:3" s="391" customFormat="1" ht="12" customHeight="1">
      <c r="A13" s="14" t="s">
        <v>99</v>
      </c>
      <c r="B13" s="393" t="s">
        <v>539</v>
      </c>
      <c r="C13" s="276"/>
    </row>
    <row r="14" spans="1:3" s="391" customFormat="1" ht="12" customHeight="1">
      <c r="A14" s="14" t="s">
        <v>100</v>
      </c>
      <c r="B14" s="393" t="s">
        <v>251</v>
      </c>
      <c r="C14" s="276"/>
    </row>
    <row r="15" spans="1:3" s="391" customFormat="1" ht="12" customHeight="1">
      <c r="A15" s="14" t="s">
        <v>145</v>
      </c>
      <c r="B15" s="270" t="s">
        <v>424</v>
      </c>
      <c r="C15" s="276"/>
    </row>
    <row r="16" spans="1:3" s="391" customFormat="1" ht="12" customHeight="1" thickBot="1">
      <c r="A16" s="16" t="s">
        <v>101</v>
      </c>
      <c r="B16" s="271" t="s">
        <v>425</v>
      </c>
      <c r="C16" s="276"/>
    </row>
    <row r="17" spans="1:3" s="391" customFormat="1" ht="12" customHeight="1" thickBot="1">
      <c r="A17" s="20" t="s">
        <v>19</v>
      </c>
      <c r="B17" s="269" t="s">
        <v>252</v>
      </c>
      <c r="C17" s="274">
        <f>+C18+C19+C20+C21+C22</f>
        <v>75000000</v>
      </c>
    </row>
    <row r="18" spans="1:3" s="391" customFormat="1" ht="12" customHeight="1">
      <c r="A18" s="15" t="s">
        <v>103</v>
      </c>
      <c r="B18" s="392" t="s">
        <v>253</v>
      </c>
      <c r="C18" s="277"/>
    </row>
    <row r="19" spans="1:3" s="391" customFormat="1" ht="12" customHeight="1">
      <c r="A19" s="14" t="s">
        <v>104</v>
      </c>
      <c r="B19" s="393" t="s">
        <v>254</v>
      </c>
      <c r="C19" s="276"/>
    </row>
    <row r="20" spans="1:3" s="391" customFormat="1" ht="12" customHeight="1">
      <c r="A20" s="14" t="s">
        <v>105</v>
      </c>
      <c r="B20" s="393" t="s">
        <v>414</v>
      </c>
      <c r="C20" s="276"/>
    </row>
    <row r="21" spans="1:3" s="391" customFormat="1" ht="12" customHeight="1">
      <c r="A21" s="14" t="s">
        <v>106</v>
      </c>
      <c r="B21" s="393" t="s">
        <v>415</v>
      </c>
      <c r="C21" s="276"/>
    </row>
    <row r="22" spans="1:3" s="391" customFormat="1" ht="12" customHeight="1">
      <c r="A22" s="14" t="s">
        <v>107</v>
      </c>
      <c r="B22" s="393" t="s">
        <v>561</v>
      </c>
      <c r="C22" s="276">
        <v>75000000</v>
      </c>
    </row>
    <row r="23" spans="1:3" s="391" customFormat="1" ht="12" customHeight="1" thickBot="1">
      <c r="A23" s="16" t="s">
        <v>116</v>
      </c>
      <c r="B23" s="271" t="s">
        <v>256</v>
      </c>
      <c r="C23" s="278"/>
    </row>
    <row r="24" spans="1:3" s="391" customFormat="1" ht="12" customHeight="1" thickBot="1">
      <c r="A24" s="20" t="s">
        <v>20</v>
      </c>
      <c r="B24" s="21" t="s">
        <v>257</v>
      </c>
      <c r="C24" s="274">
        <f>+C25+C26+C27+C28+C29</f>
        <v>0</v>
      </c>
    </row>
    <row r="25" spans="1:3" s="391" customFormat="1" ht="12" customHeight="1">
      <c r="A25" s="15" t="s">
        <v>86</v>
      </c>
      <c r="B25" s="392" t="s">
        <v>258</v>
      </c>
      <c r="C25" s="277"/>
    </row>
    <row r="26" spans="1:3" s="391" customFormat="1" ht="12" customHeight="1">
      <c r="A26" s="14" t="s">
        <v>87</v>
      </c>
      <c r="B26" s="393" t="s">
        <v>259</v>
      </c>
      <c r="C26" s="276"/>
    </row>
    <row r="27" spans="1:3" s="391" customFormat="1" ht="12" customHeight="1">
      <c r="A27" s="14" t="s">
        <v>88</v>
      </c>
      <c r="B27" s="393" t="s">
        <v>416</v>
      </c>
      <c r="C27" s="276"/>
    </row>
    <row r="28" spans="1:3" s="391" customFormat="1" ht="12" customHeight="1">
      <c r="A28" s="14" t="s">
        <v>89</v>
      </c>
      <c r="B28" s="393" t="s">
        <v>417</v>
      </c>
      <c r="C28" s="276"/>
    </row>
    <row r="29" spans="1:3" s="391" customFormat="1" ht="12" customHeight="1">
      <c r="A29" s="14" t="s">
        <v>167</v>
      </c>
      <c r="B29" s="393" t="s">
        <v>260</v>
      </c>
      <c r="C29" s="276"/>
    </row>
    <row r="30" spans="1:3" s="529" customFormat="1" ht="12" customHeight="1" thickBot="1">
      <c r="A30" s="538" t="s">
        <v>168</v>
      </c>
      <c r="B30" s="527" t="s">
        <v>556</v>
      </c>
      <c r="C30" s="528"/>
    </row>
    <row r="31" spans="1:3" s="391" customFormat="1" ht="12" customHeight="1" thickBot="1">
      <c r="A31" s="20" t="s">
        <v>169</v>
      </c>
      <c r="B31" s="21" t="s">
        <v>540</v>
      </c>
      <c r="C31" s="280">
        <f>SUM(C32:C38)</f>
        <v>0</v>
      </c>
    </row>
    <row r="32" spans="1:3" s="391" customFormat="1" ht="12" customHeight="1">
      <c r="A32" s="15" t="s">
        <v>263</v>
      </c>
      <c r="B32" s="392" t="str">
        <f>'KV_1.1.sz.mell.'!B32</f>
        <v>Építményadó</v>
      </c>
      <c r="C32" s="277"/>
    </row>
    <row r="33" spans="1:3" s="391" customFormat="1" ht="12" customHeight="1">
      <c r="A33" s="14" t="s">
        <v>264</v>
      </c>
      <c r="B33" s="392" t="str">
        <f>'KV_1.1.sz.mell.'!B33</f>
        <v>Telekadó</v>
      </c>
      <c r="C33" s="276"/>
    </row>
    <row r="34" spans="1:3" s="391" customFormat="1" ht="12" customHeight="1">
      <c r="A34" s="14" t="s">
        <v>265</v>
      </c>
      <c r="B34" s="392" t="str">
        <f>'KV_1.1.sz.mell.'!B34</f>
        <v>Iparűzési adó</v>
      </c>
      <c r="C34" s="276"/>
    </row>
    <row r="35" spans="1:3" s="391" customFormat="1" ht="12" customHeight="1">
      <c r="A35" s="14" t="s">
        <v>266</v>
      </c>
      <c r="B35" s="392" t="str">
        <f>'KV_1.1.sz.mell.'!B35</f>
        <v>Idegenforgalmi adó</v>
      </c>
      <c r="C35" s="276"/>
    </row>
    <row r="36" spans="1:3" s="391" customFormat="1" ht="12" customHeight="1">
      <c r="A36" s="14" t="s">
        <v>541</v>
      </c>
      <c r="B36" s="392" t="str">
        <f>'KV_1.1.sz.mell.'!B36</f>
        <v>Gépjárműadó</v>
      </c>
      <c r="C36" s="276"/>
    </row>
    <row r="37" spans="1:3" s="391" customFormat="1" ht="12" customHeight="1">
      <c r="A37" s="14" t="s">
        <v>542</v>
      </c>
      <c r="B37" s="392" t="str">
        <f>'KV_1.1.sz.mell.'!B37</f>
        <v>Települési adó</v>
      </c>
      <c r="C37" s="276"/>
    </row>
    <row r="38" spans="1:3" s="391" customFormat="1" ht="12" customHeight="1" thickBot="1">
      <c r="A38" s="16" t="s">
        <v>543</v>
      </c>
      <c r="B38" s="392" t="str">
        <f>'KV_1.1.sz.mell.'!B38</f>
        <v>Egyéb adó</v>
      </c>
      <c r="C38" s="278"/>
    </row>
    <row r="39" spans="1:3" s="391" customFormat="1" ht="12" customHeight="1" thickBot="1">
      <c r="A39" s="20" t="s">
        <v>22</v>
      </c>
      <c r="B39" s="21" t="s">
        <v>426</v>
      </c>
      <c r="C39" s="274">
        <f>SUM(C40:C50)</f>
        <v>120563000</v>
      </c>
    </row>
    <row r="40" spans="1:3" s="391" customFormat="1" ht="12" customHeight="1">
      <c r="A40" s="15" t="s">
        <v>90</v>
      </c>
      <c r="B40" s="392" t="s">
        <v>270</v>
      </c>
      <c r="C40" s="277"/>
    </row>
    <row r="41" spans="1:3" s="391" customFormat="1" ht="12" customHeight="1">
      <c r="A41" s="14" t="s">
        <v>91</v>
      </c>
      <c r="B41" s="393" t="s">
        <v>271</v>
      </c>
      <c r="C41" s="276">
        <v>79000000</v>
      </c>
    </row>
    <row r="42" spans="1:3" s="391" customFormat="1" ht="12" customHeight="1">
      <c r="A42" s="14" t="s">
        <v>92</v>
      </c>
      <c r="B42" s="393" t="s">
        <v>272</v>
      </c>
      <c r="C42" s="276">
        <v>1900000</v>
      </c>
    </row>
    <row r="43" spans="1:3" s="391" customFormat="1" ht="12" customHeight="1">
      <c r="A43" s="14" t="s">
        <v>171</v>
      </c>
      <c r="B43" s="393" t="s">
        <v>273</v>
      </c>
      <c r="C43" s="276"/>
    </row>
    <row r="44" spans="1:3" s="391" customFormat="1" ht="12" customHeight="1">
      <c r="A44" s="14" t="s">
        <v>172</v>
      </c>
      <c r="B44" s="393" t="s">
        <v>274</v>
      </c>
      <c r="C44" s="276"/>
    </row>
    <row r="45" spans="1:3" s="391" customFormat="1" ht="12" customHeight="1">
      <c r="A45" s="14" t="s">
        <v>173</v>
      </c>
      <c r="B45" s="393" t="s">
        <v>275</v>
      </c>
      <c r="C45" s="276">
        <v>19413000</v>
      </c>
    </row>
    <row r="46" spans="1:3" s="391" customFormat="1" ht="12" customHeight="1">
      <c r="A46" s="14" t="s">
        <v>174</v>
      </c>
      <c r="B46" s="393" t="s">
        <v>276</v>
      </c>
      <c r="C46" s="276">
        <v>20250000</v>
      </c>
    </row>
    <row r="47" spans="1:3" s="391" customFormat="1" ht="12" customHeight="1">
      <c r="A47" s="14" t="s">
        <v>175</v>
      </c>
      <c r="B47" s="393" t="s">
        <v>547</v>
      </c>
      <c r="C47" s="276"/>
    </row>
    <row r="48" spans="1:3" s="391" customFormat="1" ht="12" customHeight="1">
      <c r="A48" s="14" t="s">
        <v>268</v>
      </c>
      <c r="B48" s="393" t="s">
        <v>278</v>
      </c>
      <c r="C48" s="279"/>
    </row>
    <row r="49" spans="1:3" s="391" customFormat="1" ht="12" customHeight="1">
      <c r="A49" s="16" t="s">
        <v>269</v>
      </c>
      <c r="B49" s="394" t="s">
        <v>428</v>
      </c>
      <c r="C49" s="380"/>
    </row>
    <row r="50" spans="1:3" s="391" customFormat="1" ht="12" customHeight="1" thickBot="1">
      <c r="A50" s="16" t="s">
        <v>427</v>
      </c>
      <c r="B50" s="271" t="s">
        <v>279</v>
      </c>
      <c r="C50" s="380"/>
    </row>
    <row r="51" spans="1:3" s="391" customFormat="1" ht="12" customHeight="1" thickBot="1">
      <c r="A51" s="20" t="s">
        <v>23</v>
      </c>
      <c r="B51" s="21" t="s">
        <v>280</v>
      </c>
      <c r="C51" s="274">
        <f>SUM(C52:C56)</f>
        <v>0</v>
      </c>
    </row>
    <row r="52" spans="1:3" s="391" customFormat="1" ht="12" customHeight="1">
      <c r="A52" s="15" t="s">
        <v>93</v>
      </c>
      <c r="B52" s="392" t="s">
        <v>284</v>
      </c>
      <c r="C52" s="436"/>
    </row>
    <row r="53" spans="1:3" s="391" customFormat="1" ht="12" customHeight="1">
      <c r="A53" s="14" t="s">
        <v>94</v>
      </c>
      <c r="B53" s="393" t="s">
        <v>285</v>
      </c>
      <c r="C53" s="279"/>
    </row>
    <row r="54" spans="1:3" s="391" customFormat="1" ht="12" customHeight="1">
      <c r="A54" s="14" t="s">
        <v>281</v>
      </c>
      <c r="B54" s="393" t="s">
        <v>286</v>
      </c>
      <c r="C54" s="279"/>
    </row>
    <row r="55" spans="1:3" s="391" customFormat="1" ht="12" customHeight="1">
      <c r="A55" s="14" t="s">
        <v>282</v>
      </c>
      <c r="B55" s="393" t="s">
        <v>287</v>
      </c>
      <c r="C55" s="279"/>
    </row>
    <row r="56" spans="1:3" s="391" customFormat="1" ht="12" customHeight="1" thickBot="1">
      <c r="A56" s="16" t="s">
        <v>283</v>
      </c>
      <c r="B56" s="271" t="s">
        <v>288</v>
      </c>
      <c r="C56" s="380"/>
    </row>
    <row r="57" spans="1:3" s="391" customFormat="1" ht="12" customHeight="1" thickBot="1">
      <c r="A57" s="20" t="s">
        <v>176</v>
      </c>
      <c r="B57" s="21" t="s">
        <v>289</v>
      </c>
      <c r="C57" s="274">
        <f>SUM(C58:C60)</f>
        <v>0</v>
      </c>
    </row>
    <row r="58" spans="1:3" s="391" customFormat="1" ht="12" customHeight="1">
      <c r="A58" s="15" t="s">
        <v>95</v>
      </c>
      <c r="B58" s="392" t="s">
        <v>290</v>
      </c>
      <c r="C58" s="277"/>
    </row>
    <row r="59" spans="1:3" s="391" customFormat="1" ht="12" customHeight="1">
      <c r="A59" s="14" t="s">
        <v>96</v>
      </c>
      <c r="B59" s="393" t="s">
        <v>418</v>
      </c>
      <c r="C59" s="276"/>
    </row>
    <row r="60" spans="1:3" s="391" customFormat="1" ht="12" customHeight="1">
      <c r="A60" s="14" t="s">
        <v>293</v>
      </c>
      <c r="B60" s="393" t="s">
        <v>291</v>
      </c>
      <c r="C60" s="276"/>
    </row>
    <row r="61" spans="1:3" s="391" customFormat="1" ht="12" customHeight="1" thickBot="1">
      <c r="A61" s="16" t="s">
        <v>294</v>
      </c>
      <c r="B61" s="271" t="s">
        <v>292</v>
      </c>
      <c r="C61" s="278"/>
    </row>
    <row r="62" spans="1:3" s="391" customFormat="1" ht="12" customHeight="1" thickBot="1">
      <c r="A62" s="20" t="s">
        <v>25</v>
      </c>
      <c r="B62" s="269" t="s">
        <v>295</v>
      </c>
      <c r="C62" s="274">
        <f>SUM(C63:C65)</f>
        <v>0</v>
      </c>
    </row>
    <row r="63" spans="1:3" s="391" customFormat="1" ht="12" customHeight="1">
      <c r="A63" s="15" t="s">
        <v>177</v>
      </c>
      <c r="B63" s="392" t="s">
        <v>297</v>
      </c>
      <c r="C63" s="279"/>
    </row>
    <row r="64" spans="1:3" s="391" customFormat="1" ht="12" customHeight="1">
      <c r="A64" s="14" t="s">
        <v>178</v>
      </c>
      <c r="B64" s="393" t="s">
        <v>419</v>
      </c>
      <c r="C64" s="279"/>
    </row>
    <row r="65" spans="1:3" s="391" customFormat="1" ht="12" customHeight="1">
      <c r="A65" s="14" t="s">
        <v>226</v>
      </c>
      <c r="B65" s="393" t="s">
        <v>298</v>
      </c>
      <c r="C65" s="279"/>
    </row>
    <row r="66" spans="1:3" s="391" customFormat="1" ht="12" customHeight="1" thickBot="1">
      <c r="A66" s="16" t="s">
        <v>296</v>
      </c>
      <c r="B66" s="271" t="s">
        <v>299</v>
      </c>
      <c r="C66" s="279"/>
    </row>
    <row r="67" spans="1:3" s="391" customFormat="1" ht="12" customHeight="1" thickBot="1">
      <c r="A67" s="463" t="s">
        <v>468</v>
      </c>
      <c r="B67" s="21" t="s">
        <v>300</v>
      </c>
      <c r="C67" s="280">
        <f>+C10+C17+C24+C31+C39+C51+C57+C62</f>
        <v>195563000</v>
      </c>
    </row>
    <row r="68" spans="1:3" s="391" customFormat="1" ht="12" customHeight="1" thickBot="1">
      <c r="A68" s="439" t="s">
        <v>301</v>
      </c>
      <c r="B68" s="269" t="s">
        <v>302</v>
      </c>
      <c r="C68" s="274">
        <f>SUM(C69:C71)</f>
        <v>0</v>
      </c>
    </row>
    <row r="69" spans="1:3" s="391" customFormat="1" ht="12" customHeight="1">
      <c r="A69" s="15" t="s">
        <v>330</v>
      </c>
      <c r="B69" s="392" t="s">
        <v>303</v>
      </c>
      <c r="C69" s="279"/>
    </row>
    <row r="70" spans="1:3" s="391" customFormat="1" ht="12" customHeight="1">
      <c r="A70" s="14" t="s">
        <v>339</v>
      </c>
      <c r="B70" s="393" t="s">
        <v>304</v>
      </c>
      <c r="C70" s="279"/>
    </row>
    <row r="71" spans="1:3" s="391" customFormat="1" ht="12" customHeight="1" thickBot="1">
      <c r="A71" s="16" t="s">
        <v>340</v>
      </c>
      <c r="B71" s="457" t="s">
        <v>557</v>
      </c>
      <c r="C71" s="279"/>
    </row>
    <row r="72" spans="1:3" s="391" customFormat="1" ht="12" customHeight="1" thickBot="1">
      <c r="A72" s="439" t="s">
        <v>306</v>
      </c>
      <c r="B72" s="269" t="s">
        <v>307</v>
      </c>
      <c r="C72" s="274">
        <f>SUM(C73:C76)</f>
        <v>0</v>
      </c>
    </row>
    <row r="73" spans="1:3" s="391" customFormat="1" ht="12" customHeight="1">
      <c r="A73" s="15" t="s">
        <v>146</v>
      </c>
      <c r="B73" s="392" t="s">
        <v>308</v>
      </c>
      <c r="C73" s="279"/>
    </row>
    <row r="74" spans="1:3" s="391" customFormat="1" ht="12" customHeight="1">
      <c r="A74" s="14" t="s">
        <v>147</v>
      </c>
      <c r="B74" s="393" t="s">
        <v>558</v>
      </c>
      <c r="C74" s="279"/>
    </row>
    <row r="75" spans="1:3" s="391" customFormat="1" ht="12" customHeight="1" thickBot="1">
      <c r="A75" s="16" t="s">
        <v>331</v>
      </c>
      <c r="B75" s="394" t="s">
        <v>309</v>
      </c>
      <c r="C75" s="380"/>
    </row>
    <row r="76" spans="1:3" s="391" customFormat="1" ht="12" customHeight="1" thickBot="1">
      <c r="A76" s="540" t="s">
        <v>332</v>
      </c>
      <c r="B76" s="541" t="s">
        <v>559</v>
      </c>
      <c r="C76" s="542"/>
    </row>
    <row r="77" spans="1:3" s="391" customFormat="1" ht="12" customHeight="1" thickBot="1">
      <c r="A77" s="439" t="s">
        <v>310</v>
      </c>
      <c r="B77" s="269" t="s">
        <v>311</v>
      </c>
      <c r="C77" s="274">
        <f>SUM(C78:C79)</f>
        <v>0</v>
      </c>
    </row>
    <row r="78" spans="1:3" s="391" customFormat="1" ht="12" customHeight="1" thickBot="1">
      <c r="A78" s="13" t="s">
        <v>333</v>
      </c>
      <c r="B78" s="539" t="s">
        <v>312</v>
      </c>
      <c r="C78" s="380"/>
    </row>
    <row r="79" spans="1:3" s="391" customFormat="1" ht="12" customHeight="1" thickBot="1">
      <c r="A79" s="540" t="s">
        <v>334</v>
      </c>
      <c r="B79" s="541" t="s">
        <v>313</v>
      </c>
      <c r="C79" s="542"/>
    </row>
    <row r="80" spans="1:3" s="391" customFormat="1" ht="12" customHeight="1" thickBot="1">
      <c r="A80" s="439" t="s">
        <v>314</v>
      </c>
      <c r="B80" s="269" t="s">
        <v>315</v>
      </c>
      <c r="C80" s="274">
        <f>SUM(C81:C83)</f>
        <v>0</v>
      </c>
    </row>
    <row r="81" spans="1:3" s="391" customFormat="1" ht="12" customHeight="1">
      <c r="A81" s="15" t="s">
        <v>335</v>
      </c>
      <c r="B81" s="392" t="s">
        <v>316</v>
      </c>
      <c r="C81" s="279"/>
    </row>
    <row r="82" spans="1:3" s="391" customFormat="1" ht="12" customHeight="1">
      <c r="A82" s="14" t="s">
        <v>336</v>
      </c>
      <c r="B82" s="393" t="s">
        <v>317</v>
      </c>
      <c r="C82" s="279"/>
    </row>
    <row r="83" spans="1:3" s="391" customFormat="1" ht="12" customHeight="1" thickBot="1">
      <c r="A83" s="18" t="s">
        <v>337</v>
      </c>
      <c r="B83" s="543" t="s">
        <v>560</v>
      </c>
      <c r="C83" s="544"/>
    </row>
    <row r="84" spans="1:3" s="391" customFormat="1" ht="12" customHeight="1" thickBot="1">
      <c r="A84" s="439" t="s">
        <v>318</v>
      </c>
      <c r="B84" s="269" t="s">
        <v>338</v>
      </c>
      <c r="C84" s="274">
        <f>SUM(C85:C88)</f>
        <v>0</v>
      </c>
    </row>
    <row r="85" spans="1:3" s="391" customFormat="1" ht="12" customHeight="1">
      <c r="A85" s="396" t="s">
        <v>319</v>
      </c>
      <c r="B85" s="392" t="s">
        <v>320</v>
      </c>
      <c r="C85" s="279"/>
    </row>
    <row r="86" spans="1:3" s="391" customFormat="1" ht="12" customHeight="1">
      <c r="A86" s="397" t="s">
        <v>321</v>
      </c>
      <c r="B86" s="393" t="s">
        <v>322</v>
      </c>
      <c r="C86" s="279"/>
    </row>
    <row r="87" spans="1:3" s="391" customFormat="1" ht="12" customHeight="1">
      <c r="A87" s="397" t="s">
        <v>323</v>
      </c>
      <c r="B87" s="393" t="s">
        <v>324</v>
      </c>
      <c r="C87" s="279"/>
    </row>
    <row r="88" spans="1:3" s="391" customFormat="1" ht="12" customHeight="1" thickBot="1">
      <c r="A88" s="398" t="s">
        <v>325</v>
      </c>
      <c r="B88" s="271" t="s">
        <v>326</v>
      </c>
      <c r="C88" s="279"/>
    </row>
    <row r="89" spans="1:3" s="391" customFormat="1" ht="12" customHeight="1" thickBot="1">
      <c r="A89" s="439" t="s">
        <v>327</v>
      </c>
      <c r="B89" s="269" t="s">
        <v>467</v>
      </c>
      <c r="C89" s="437"/>
    </row>
    <row r="90" spans="1:3" s="391" customFormat="1" ht="13.5" customHeight="1" thickBot="1">
      <c r="A90" s="439" t="s">
        <v>329</v>
      </c>
      <c r="B90" s="269" t="s">
        <v>328</v>
      </c>
      <c r="C90" s="437"/>
    </row>
    <row r="91" spans="1:3" s="391" customFormat="1" ht="15.75" customHeight="1" thickBot="1">
      <c r="A91" s="439" t="s">
        <v>341</v>
      </c>
      <c r="B91" s="399" t="s">
        <v>470</v>
      </c>
      <c r="C91" s="280">
        <f>+C68+C72+C77+C80+C84+C90+C89</f>
        <v>0</v>
      </c>
    </row>
    <row r="92" spans="1:3" s="391" customFormat="1" ht="16.5" customHeight="1" thickBot="1">
      <c r="A92" s="440" t="s">
        <v>469</v>
      </c>
      <c r="B92" s="400" t="s">
        <v>471</v>
      </c>
      <c r="C92" s="280">
        <f>+C67+C91</f>
        <v>195563000</v>
      </c>
    </row>
    <row r="93" spans="1:3" s="391" customFormat="1" ht="10.5" customHeight="1">
      <c r="A93" s="5"/>
      <c r="B93" s="6"/>
      <c r="C93" s="281"/>
    </row>
    <row r="94" spans="1:3" ht="16.5" customHeight="1">
      <c r="A94" s="757" t="s">
        <v>47</v>
      </c>
      <c r="B94" s="757"/>
      <c r="C94" s="757"/>
    </row>
    <row r="95" spans="1:3" s="401" customFormat="1" ht="16.5" customHeight="1" thickBot="1">
      <c r="A95" s="754" t="s">
        <v>150</v>
      </c>
      <c r="B95" s="754"/>
      <c r="C95" s="551" t="str">
        <f>C7</f>
        <v>Forintban!</v>
      </c>
    </row>
    <row r="96" spans="1:3" ht="30" customHeight="1" thickBot="1">
      <c r="A96" s="532" t="s">
        <v>69</v>
      </c>
      <c r="B96" s="533" t="s">
        <v>48</v>
      </c>
      <c r="C96" s="534" t="str">
        <f>+C8</f>
        <v>2020. évi előirányzat</v>
      </c>
    </row>
    <row r="97" spans="1:3" s="390" customFormat="1" ht="12" customHeight="1" thickBot="1">
      <c r="A97" s="532"/>
      <c r="B97" s="533" t="s">
        <v>485</v>
      </c>
      <c r="C97" s="534" t="s">
        <v>486</v>
      </c>
    </row>
    <row r="98" spans="1:3" ht="12" customHeight="1" thickBot="1">
      <c r="A98" s="22" t="s">
        <v>18</v>
      </c>
      <c r="B98" s="28" t="s">
        <v>429</v>
      </c>
      <c r="C98" s="273">
        <f>C99+C100+C101+C102+C103+C116</f>
        <v>58440480</v>
      </c>
    </row>
    <row r="99" spans="1:3" ht="12" customHeight="1">
      <c r="A99" s="17" t="s">
        <v>97</v>
      </c>
      <c r="B99" s="10" t="s">
        <v>49</v>
      </c>
      <c r="C99" s="275">
        <v>10380000</v>
      </c>
    </row>
    <row r="100" spans="1:3" ht="12" customHeight="1">
      <c r="A100" s="14" t="s">
        <v>98</v>
      </c>
      <c r="B100" s="8" t="s">
        <v>179</v>
      </c>
      <c r="C100" s="276">
        <v>1729000</v>
      </c>
    </row>
    <row r="101" spans="1:3" ht="12" customHeight="1">
      <c r="A101" s="14" t="s">
        <v>99</v>
      </c>
      <c r="B101" s="8" t="s">
        <v>137</v>
      </c>
      <c r="C101" s="278">
        <v>46331480</v>
      </c>
    </row>
    <row r="102" spans="1:3" ht="12" customHeight="1">
      <c r="A102" s="14" t="s">
        <v>100</v>
      </c>
      <c r="B102" s="11" t="s">
        <v>180</v>
      </c>
      <c r="C102" s="278"/>
    </row>
    <row r="103" spans="1:3" ht="12" customHeight="1">
      <c r="A103" s="14" t="s">
        <v>111</v>
      </c>
      <c r="B103" s="19" t="s">
        <v>181</v>
      </c>
      <c r="C103" s="278"/>
    </row>
    <row r="104" spans="1:3" ht="12" customHeight="1">
      <c r="A104" s="14" t="s">
        <v>101</v>
      </c>
      <c r="B104" s="8" t="s">
        <v>434</v>
      </c>
      <c r="C104" s="278"/>
    </row>
    <row r="105" spans="1:3" ht="12" customHeight="1">
      <c r="A105" s="14" t="s">
        <v>102</v>
      </c>
      <c r="B105" s="138" t="s">
        <v>433</v>
      </c>
      <c r="C105" s="278"/>
    </row>
    <row r="106" spans="1:3" ht="12" customHeight="1">
      <c r="A106" s="14" t="s">
        <v>112</v>
      </c>
      <c r="B106" s="138" t="s">
        <v>432</v>
      </c>
      <c r="C106" s="278"/>
    </row>
    <row r="107" spans="1:3" ht="12" customHeight="1">
      <c r="A107" s="14" t="s">
        <v>113</v>
      </c>
      <c r="B107" s="136" t="s">
        <v>344</v>
      </c>
      <c r="C107" s="278"/>
    </row>
    <row r="108" spans="1:3" ht="12" customHeight="1">
      <c r="A108" s="14" t="s">
        <v>114</v>
      </c>
      <c r="B108" s="137" t="s">
        <v>345</v>
      </c>
      <c r="C108" s="278"/>
    </row>
    <row r="109" spans="1:3" ht="12" customHeight="1">
      <c r="A109" s="14" t="s">
        <v>115</v>
      </c>
      <c r="B109" s="137" t="s">
        <v>346</v>
      </c>
      <c r="C109" s="278"/>
    </row>
    <row r="110" spans="1:3" ht="12" customHeight="1">
      <c r="A110" s="14" t="s">
        <v>117</v>
      </c>
      <c r="B110" s="136" t="s">
        <v>347</v>
      </c>
      <c r="C110" s="278"/>
    </row>
    <row r="111" spans="1:3" ht="12" customHeight="1">
      <c r="A111" s="14" t="s">
        <v>182</v>
      </c>
      <c r="B111" s="136" t="s">
        <v>348</v>
      </c>
      <c r="C111" s="278"/>
    </row>
    <row r="112" spans="1:3" ht="12" customHeight="1">
      <c r="A112" s="14" t="s">
        <v>342</v>
      </c>
      <c r="B112" s="137" t="s">
        <v>349</v>
      </c>
      <c r="C112" s="278"/>
    </row>
    <row r="113" spans="1:3" ht="12" customHeight="1">
      <c r="A113" s="13" t="s">
        <v>343</v>
      </c>
      <c r="B113" s="138" t="s">
        <v>350</v>
      </c>
      <c r="C113" s="278"/>
    </row>
    <row r="114" spans="1:3" ht="12" customHeight="1">
      <c r="A114" s="14" t="s">
        <v>430</v>
      </c>
      <c r="B114" s="138" t="s">
        <v>351</v>
      </c>
      <c r="C114" s="278"/>
    </row>
    <row r="115" spans="1:3" ht="12" customHeight="1">
      <c r="A115" s="16" t="s">
        <v>431</v>
      </c>
      <c r="B115" s="138" t="s">
        <v>352</v>
      </c>
      <c r="C115" s="278"/>
    </row>
    <row r="116" spans="1:3" ht="12" customHeight="1">
      <c r="A116" s="14" t="s">
        <v>435</v>
      </c>
      <c r="B116" s="11" t="s">
        <v>50</v>
      </c>
      <c r="C116" s="276"/>
    </row>
    <row r="117" spans="1:3" ht="12" customHeight="1">
      <c r="A117" s="14" t="s">
        <v>436</v>
      </c>
      <c r="B117" s="8" t="s">
        <v>438</v>
      </c>
      <c r="C117" s="276"/>
    </row>
    <row r="118" spans="1:3" ht="12" customHeight="1" thickBot="1">
      <c r="A118" s="18" t="s">
        <v>437</v>
      </c>
      <c r="B118" s="461" t="s">
        <v>439</v>
      </c>
      <c r="C118" s="282"/>
    </row>
    <row r="119" spans="1:3" ht="12" customHeight="1" thickBot="1">
      <c r="A119" s="458" t="s">
        <v>19</v>
      </c>
      <c r="B119" s="459" t="s">
        <v>353</v>
      </c>
      <c r="C119" s="460">
        <f>+C120+C122+C124</f>
        <v>125250000</v>
      </c>
    </row>
    <row r="120" spans="1:3" ht="12" customHeight="1">
      <c r="A120" s="15" t="s">
        <v>103</v>
      </c>
      <c r="B120" s="8" t="s">
        <v>225</v>
      </c>
      <c r="C120" s="277"/>
    </row>
    <row r="121" spans="1:3" ht="12" customHeight="1">
      <c r="A121" s="15" t="s">
        <v>104</v>
      </c>
      <c r="B121" s="12" t="s">
        <v>357</v>
      </c>
      <c r="C121" s="277"/>
    </row>
    <row r="122" spans="1:3" ht="12" customHeight="1">
      <c r="A122" s="15" t="s">
        <v>105</v>
      </c>
      <c r="B122" s="12" t="s">
        <v>183</v>
      </c>
      <c r="C122" s="276">
        <v>125250000</v>
      </c>
    </row>
    <row r="123" spans="1:3" ht="12" customHeight="1">
      <c r="A123" s="15" t="s">
        <v>106</v>
      </c>
      <c r="B123" s="12" t="s">
        <v>358</v>
      </c>
      <c r="C123" s="245"/>
    </row>
    <row r="124" spans="1:3" ht="12" customHeight="1">
      <c r="A124" s="15" t="s">
        <v>107</v>
      </c>
      <c r="B124" s="271" t="s">
        <v>562</v>
      </c>
      <c r="C124" s="245"/>
    </row>
    <row r="125" spans="1:3" ht="12" customHeight="1">
      <c r="A125" s="15" t="s">
        <v>116</v>
      </c>
      <c r="B125" s="270" t="s">
        <v>420</v>
      </c>
      <c r="C125" s="245"/>
    </row>
    <row r="126" spans="1:3" ht="12" customHeight="1">
      <c r="A126" s="15" t="s">
        <v>118</v>
      </c>
      <c r="B126" s="388" t="s">
        <v>363</v>
      </c>
      <c r="C126" s="245"/>
    </row>
    <row r="127" spans="1:3" ht="15.75">
      <c r="A127" s="15" t="s">
        <v>184</v>
      </c>
      <c r="B127" s="137" t="s">
        <v>346</v>
      </c>
      <c r="C127" s="245"/>
    </row>
    <row r="128" spans="1:3" ht="12" customHeight="1">
      <c r="A128" s="15" t="s">
        <v>185</v>
      </c>
      <c r="B128" s="137" t="s">
        <v>362</v>
      </c>
      <c r="C128" s="245"/>
    </row>
    <row r="129" spans="1:3" ht="12" customHeight="1">
      <c r="A129" s="15" t="s">
        <v>186</v>
      </c>
      <c r="B129" s="137" t="s">
        <v>361</v>
      </c>
      <c r="C129" s="245"/>
    </row>
    <row r="130" spans="1:3" ht="12" customHeight="1">
      <c r="A130" s="15" t="s">
        <v>354</v>
      </c>
      <c r="B130" s="137" t="s">
        <v>349</v>
      </c>
      <c r="C130" s="245"/>
    </row>
    <row r="131" spans="1:3" ht="12" customHeight="1">
      <c r="A131" s="15" t="s">
        <v>355</v>
      </c>
      <c r="B131" s="137" t="s">
        <v>360</v>
      </c>
      <c r="C131" s="245"/>
    </row>
    <row r="132" spans="1:3" ht="16.5" thickBot="1">
      <c r="A132" s="13" t="s">
        <v>356</v>
      </c>
      <c r="B132" s="137" t="s">
        <v>359</v>
      </c>
      <c r="C132" s="247"/>
    </row>
    <row r="133" spans="1:3" ht="12" customHeight="1" thickBot="1">
      <c r="A133" s="20" t="s">
        <v>20</v>
      </c>
      <c r="B133" s="118" t="s">
        <v>440</v>
      </c>
      <c r="C133" s="274">
        <f>+C98+C119</f>
        <v>183690480</v>
      </c>
    </row>
    <row r="134" spans="1:3" ht="12" customHeight="1" thickBot="1">
      <c r="A134" s="20" t="s">
        <v>21</v>
      </c>
      <c r="B134" s="118" t="s">
        <v>441</v>
      </c>
      <c r="C134" s="274">
        <f>+C135+C136+C137</f>
        <v>0</v>
      </c>
    </row>
    <row r="135" spans="1:3" ht="12" customHeight="1">
      <c r="A135" s="15" t="s">
        <v>263</v>
      </c>
      <c r="B135" s="12" t="s">
        <v>448</v>
      </c>
      <c r="C135" s="245"/>
    </row>
    <row r="136" spans="1:3" ht="12" customHeight="1">
      <c r="A136" s="15" t="s">
        <v>264</v>
      </c>
      <c r="B136" s="12" t="s">
        <v>449</v>
      </c>
      <c r="C136" s="245"/>
    </row>
    <row r="137" spans="1:3" ht="12" customHeight="1" thickBot="1">
      <c r="A137" s="13" t="s">
        <v>265</v>
      </c>
      <c r="B137" s="12" t="s">
        <v>450</v>
      </c>
      <c r="C137" s="245"/>
    </row>
    <row r="138" spans="1:3" ht="12" customHeight="1" thickBot="1">
      <c r="A138" s="20" t="s">
        <v>22</v>
      </c>
      <c r="B138" s="118" t="s">
        <v>442</v>
      </c>
      <c r="C138" s="274">
        <f>SUM(C139:C144)</f>
        <v>0</v>
      </c>
    </row>
    <row r="139" spans="1:3" ht="12" customHeight="1">
      <c r="A139" s="15" t="s">
        <v>90</v>
      </c>
      <c r="B139" s="9" t="s">
        <v>451</v>
      </c>
      <c r="C139" s="245"/>
    </row>
    <row r="140" spans="1:3" ht="12" customHeight="1">
      <c r="A140" s="15" t="s">
        <v>91</v>
      </c>
      <c r="B140" s="9" t="s">
        <v>443</v>
      </c>
      <c r="C140" s="245"/>
    </row>
    <row r="141" spans="1:3" ht="12" customHeight="1">
      <c r="A141" s="15" t="s">
        <v>92</v>
      </c>
      <c r="B141" s="9" t="s">
        <v>444</v>
      </c>
      <c r="C141" s="245"/>
    </row>
    <row r="142" spans="1:3" ht="12" customHeight="1">
      <c r="A142" s="15" t="s">
        <v>171</v>
      </c>
      <c r="B142" s="9" t="s">
        <v>445</v>
      </c>
      <c r="C142" s="245"/>
    </row>
    <row r="143" spans="1:3" ht="12" customHeight="1">
      <c r="A143" s="13" t="s">
        <v>172</v>
      </c>
      <c r="B143" s="7" t="s">
        <v>446</v>
      </c>
      <c r="C143" s="247"/>
    </row>
    <row r="144" spans="1:3" ht="12" customHeight="1" thickBot="1">
      <c r="A144" s="18" t="s">
        <v>173</v>
      </c>
      <c r="B144" s="690" t="s">
        <v>447</v>
      </c>
      <c r="C144" s="468"/>
    </row>
    <row r="145" spans="1:3" ht="12" customHeight="1" thickBot="1">
      <c r="A145" s="20" t="s">
        <v>23</v>
      </c>
      <c r="B145" s="118" t="s">
        <v>455</v>
      </c>
      <c r="C145" s="280">
        <f>+C146+C147+C148+C149</f>
        <v>0</v>
      </c>
    </row>
    <row r="146" spans="1:3" ht="12" customHeight="1">
      <c r="A146" s="15" t="s">
        <v>93</v>
      </c>
      <c r="B146" s="9" t="s">
        <v>364</v>
      </c>
      <c r="C146" s="245"/>
    </row>
    <row r="147" spans="1:3" ht="12" customHeight="1">
      <c r="A147" s="15" t="s">
        <v>94</v>
      </c>
      <c r="B147" s="9" t="s">
        <v>365</v>
      </c>
      <c r="C147" s="245"/>
    </row>
    <row r="148" spans="1:3" ht="12" customHeight="1" thickBot="1">
      <c r="A148" s="13" t="s">
        <v>281</v>
      </c>
      <c r="B148" s="7" t="s">
        <v>456</v>
      </c>
      <c r="C148" s="247"/>
    </row>
    <row r="149" spans="1:3" ht="12" customHeight="1" thickBot="1">
      <c r="A149" s="540" t="s">
        <v>282</v>
      </c>
      <c r="B149" s="545" t="s">
        <v>383</v>
      </c>
      <c r="C149" s="546"/>
    </row>
    <row r="150" spans="1:3" ht="12" customHeight="1" thickBot="1">
      <c r="A150" s="20" t="s">
        <v>24</v>
      </c>
      <c r="B150" s="118" t="s">
        <v>457</v>
      </c>
      <c r="C150" s="283">
        <f>SUM(C151:C155)</f>
        <v>0</v>
      </c>
    </row>
    <row r="151" spans="1:3" ht="12" customHeight="1">
      <c r="A151" s="15" t="s">
        <v>95</v>
      </c>
      <c r="B151" s="9" t="s">
        <v>452</v>
      </c>
      <c r="C151" s="245"/>
    </row>
    <row r="152" spans="1:3" ht="12" customHeight="1">
      <c r="A152" s="15" t="s">
        <v>96</v>
      </c>
      <c r="B152" s="9" t="s">
        <v>459</v>
      </c>
      <c r="C152" s="245"/>
    </row>
    <row r="153" spans="1:3" ht="12" customHeight="1">
      <c r="A153" s="15" t="s">
        <v>293</v>
      </c>
      <c r="B153" s="9" t="s">
        <v>454</v>
      </c>
      <c r="C153" s="245"/>
    </row>
    <row r="154" spans="1:3" ht="12" customHeight="1">
      <c r="A154" s="15" t="s">
        <v>294</v>
      </c>
      <c r="B154" s="9" t="s">
        <v>510</v>
      </c>
      <c r="C154" s="245"/>
    </row>
    <row r="155" spans="1:3" ht="12" customHeight="1" thickBot="1">
      <c r="A155" s="15" t="s">
        <v>458</v>
      </c>
      <c r="B155" s="9" t="s">
        <v>461</v>
      </c>
      <c r="C155" s="245"/>
    </row>
    <row r="156" spans="1:3" ht="12" customHeight="1" thickBot="1">
      <c r="A156" s="20" t="s">
        <v>25</v>
      </c>
      <c r="B156" s="118" t="s">
        <v>462</v>
      </c>
      <c r="C156" s="462"/>
    </row>
    <row r="157" spans="1:3" ht="12" customHeight="1" thickBot="1">
      <c r="A157" s="20" t="s">
        <v>26</v>
      </c>
      <c r="B157" s="118" t="s">
        <v>463</v>
      </c>
      <c r="C157" s="462"/>
    </row>
    <row r="158" spans="1:9" ht="15" customHeight="1" thickBot="1">
      <c r="A158" s="20" t="s">
        <v>27</v>
      </c>
      <c r="B158" s="118" t="s">
        <v>465</v>
      </c>
      <c r="C158" s="547">
        <f>+C134+C138+C145+C150+C156+C157</f>
        <v>0</v>
      </c>
      <c r="F158" s="403"/>
      <c r="G158" s="404"/>
      <c r="H158" s="404"/>
      <c r="I158" s="404"/>
    </row>
    <row r="159" spans="1:3" s="391" customFormat="1" ht="17.25" customHeight="1" thickBot="1">
      <c r="A159" s="272" t="s">
        <v>28</v>
      </c>
      <c r="B159" s="548" t="s">
        <v>464</v>
      </c>
      <c r="C159" s="547">
        <f>+C133+C158</f>
        <v>183690480</v>
      </c>
    </row>
    <row r="160" spans="1:3" ht="15.75" customHeight="1">
      <c r="A160" s="549"/>
      <c r="B160" s="549"/>
      <c r="C160" s="604">
        <f>C92-C159</f>
        <v>11872520</v>
      </c>
    </row>
    <row r="161" spans="1:3" ht="15.75">
      <c r="A161" s="755" t="s">
        <v>366</v>
      </c>
      <c r="B161" s="755"/>
      <c r="C161" s="755"/>
    </row>
    <row r="162" spans="1:3" ht="15" customHeight="1" thickBot="1">
      <c r="A162" s="756" t="s">
        <v>151</v>
      </c>
      <c r="B162" s="756"/>
      <c r="C162" s="552" t="str">
        <f>C95</f>
        <v>Forintban!</v>
      </c>
    </row>
    <row r="163" spans="1:4" ht="13.5" customHeight="1" thickBot="1">
      <c r="A163" s="20">
        <v>1</v>
      </c>
      <c r="B163" s="27" t="s">
        <v>466</v>
      </c>
      <c r="C163" s="274">
        <f>+C67-C133</f>
        <v>11872520</v>
      </c>
      <c r="D163" s="405"/>
    </row>
    <row r="164" spans="1:3" ht="27.75" customHeight="1" thickBot="1">
      <c r="A164" s="20" t="s">
        <v>19</v>
      </c>
      <c r="B164" s="27" t="s">
        <v>472</v>
      </c>
      <c r="C164" s="274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">
      <selection activeCell="H21" sqref="H21"/>
    </sheetView>
  </sheetViews>
  <sheetFormatPr defaultColWidth="9.00390625" defaultRowHeight="12.75"/>
  <cols>
    <col min="1" max="1" width="9.50390625" style="358" customWidth="1"/>
    <col min="2" max="2" width="99.375" style="358" customWidth="1"/>
    <col min="3" max="3" width="21.625" style="359" customWidth="1"/>
    <col min="4" max="4" width="9.00390625" style="389" customWidth="1"/>
    <col min="5" max="16384" width="9.375" style="389" customWidth="1"/>
  </cols>
  <sheetData>
    <row r="1" spans="1:3" ht="18.75" customHeight="1">
      <c r="A1" s="595"/>
      <c r="B1" s="750" t="str">
        <f>CONCATENATE("1.4. melléklet ",ALAPADATOK!A7," ",ALAPADATOK!B7," ",ALAPADATOK!C7," ",ALAPADATOK!D7," ",ALAPADATOK!E7," ",ALAPADATOK!F7," ",ALAPADATOK!G7," ",ALAPADATOK!H7)</f>
        <v>1.4. melléklet a 2 / 2020 ( II. 21. ) önkormányzati rendelethez</v>
      </c>
      <c r="C1" s="751"/>
    </row>
    <row r="2" spans="1:3" ht="21.75" customHeight="1">
      <c r="A2" s="596"/>
      <c r="B2" s="597" t="str">
        <f>CONCATENATE(ALAPADATOK!A3)</f>
        <v>BALATONGYÖRÖK KÖZSÉG ÖNKORMÁNYZATA</v>
      </c>
      <c r="C2" s="598"/>
    </row>
    <row r="3" spans="1:3" ht="21.75" customHeight="1">
      <c r="A3" s="598"/>
      <c r="B3" s="597" t="str">
        <f>'KV_1.3.sz.mell.'!B3</f>
        <v>2020. ÉVI KÖLTSÉGVETÉS</v>
      </c>
      <c r="C3" s="598"/>
    </row>
    <row r="4" spans="1:3" ht="21.75" customHeight="1">
      <c r="A4" s="598"/>
      <c r="B4" s="597" t="s">
        <v>569</v>
      </c>
      <c r="C4" s="598"/>
    </row>
    <row r="5" spans="1:3" ht="21.75" customHeight="1">
      <c r="A5" s="595"/>
      <c r="B5" s="595"/>
      <c r="C5" s="599"/>
    </row>
    <row r="6" spans="1:3" ht="15" customHeight="1">
      <c r="A6" s="752" t="s">
        <v>15</v>
      </c>
      <c r="B6" s="752"/>
      <c r="C6" s="752"/>
    </row>
    <row r="7" spans="1:3" ht="15" customHeight="1" thickBot="1">
      <c r="A7" s="753" t="s">
        <v>149</v>
      </c>
      <c r="B7" s="753"/>
      <c r="C7" s="550" t="str">
        <f>CONCATENATE('KV_1.1.sz.mell.'!C7)</f>
        <v>Forintban!</v>
      </c>
    </row>
    <row r="8" spans="1:3" ht="24" customHeight="1" thickBot="1">
      <c r="A8" s="600" t="s">
        <v>69</v>
      </c>
      <c r="B8" s="601" t="s">
        <v>17</v>
      </c>
      <c r="C8" s="602" t="str">
        <f>+CONCATENATE(LEFT(KV_ÖSSZEFÜGGÉSEK!A5,4),". évi előirányzat")</f>
        <v>2020. évi előirányzat</v>
      </c>
    </row>
    <row r="9" spans="1:3" s="390" customFormat="1" ht="12" customHeight="1" thickBot="1">
      <c r="A9" s="535"/>
      <c r="B9" s="536" t="s">
        <v>485</v>
      </c>
      <c r="C9" s="537" t="s">
        <v>486</v>
      </c>
    </row>
    <row r="10" spans="1:3" s="391" customFormat="1" ht="12" customHeight="1" thickBot="1">
      <c r="A10" s="20" t="s">
        <v>18</v>
      </c>
      <c r="B10" s="21" t="s">
        <v>247</v>
      </c>
      <c r="C10" s="274">
        <f>+C11+C12+C13+C14+C15+C16</f>
        <v>0</v>
      </c>
    </row>
    <row r="11" spans="1:3" s="391" customFormat="1" ht="12" customHeight="1">
      <c r="A11" s="15" t="s">
        <v>97</v>
      </c>
      <c r="B11" s="392" t="s">
        <v>248</v>
      </c>
      <c r="C11" s="277"/>
    </row>
    <row r="12" spans="1:3" s="391" customFormat="1" ht="12" customHeight="1">
      <c r="A12" s="14" t="s">
        <v>98</v>
      </c>
      <c r="B12" s="393" t="s">
        <v>249</v>
      </c>
      <c r="C12" s="276"/>
    </row>
    <row r="13" spans="1:3" s="391" customFormat="1" ht="12" customHeight="1">
      <c r="A13" s="14" t="s">
        <v>99</v>
      </c>
      <c r="B13" s="393" t="s">
        <v>539</v>
      </c>
      <c r="C13" s="276"/>
    </row>
    <row r="14" spans="1:3" s="391" customFormat="1" ht="12" customHeight="1">
      <c r="A14" s="14" t="s">
        <v>100</v>
      </c>
      <c r="B14" s="393" t="s">
        <v>251</v>
      </c>
      <c r="C14" s="276"/>
    </row>
    <row r="15" spans="1:3" s="391" customFormat="1" ht="12" customHeight="1">
      <c r="A15" s="14" t="s">
        <v>145</v>
      </c>
      <c r="B15" s="270" t="s">
        <v>424</v>
      </c>
      <c r="C15" s="276"/>
    </row>
    <row r="16" spans="1:3" s="391" customFormat="1" ht="12" customHeight="1" thickBot="1">
      <c r="A16" s="16" t="s">
        <v>101</v>
      </c>
      <c r="B16" s="271" t="s">
        <v>425</v>
      </c>
      <c r="C16" s="276"/>
    </row>
    <row r="17" spans="1:3" s="391" customFormat="1" ht="12" customHeight="1" thickBot="1">
      <c r="A17" s="20" t="s">
        <v>19</v>
      </c>
      <c r="B17" s="269" t="s">
        <v>252</v>
      </c>
      <c r="C17" s="274">
        <f>+C18+C19+C20+C21+C22</f>
        <v>0</v>
      </c>
    </row>
    <row r="18" spans="1:3" s="391" customFormat="1" ht="12" customHeight="1">
      <c r="A18" s="15" t="s">
        <v>103</v>
      </c>
      <c r="B18" s="392" t="s">
        <v>253</v>
      </c>
      <c r="C18" s="277"/>
    </row>
    <row r="19" spans="1:3" s="391" customFormat="1" ht="12" customHeight="1">
      <c r="A19" s="14" t="s">
        <v>104</v>
      </c>
      <c r="B19" s="393" t="s">
        <v>254</v>
      </c>
      <c r="C19" s="276"/>
    </row>
    <row r="20" spans="1:3" s="391" customFormat="1" ht="12" customHeight="1">
      <c r="A20" s="14" t="s">
        <v>105</v>
      </c>
      <c r="B20" s="393" t="s">
        <v>414</v>
      </c>
      <c r="C20" s="276"/>
    </row>
    <row r="21" spans="1:3" s="391" customFormat="1" ht="12" customHeight="1">
      <c r="A21" s="14" t="s">
        <v>106</v>
      </c>
      <c r="B21" s="393" t="s">
        <v>415</v>
      </c>
      <c r="C21" s="276"/>
    </row>
    <row r="22" spans="1:3" s="391" customFormat="1" ht="12" customHeight="1">
      <c r="A22" s="14" t="s">
        <v>107</v>
      </c>
      <c r="B22" s="393" t="s">
        <v>561</v>
      </c>
      <c r="C22" s="276"/>
    </row>
    <row r="23" spans="1:3" s="391" customFormat="1" ht="12" customHeight="1" thickBot="1">
      <c r="A23" s="16" t="s">
        <v>116</v>
      </c>
      <c r="B23" s="271" t="s">
        <v>256</v>
      </c>
      <c r="C23" s="278"/>
    </row>
    <row r="24" spans="1:3" s="391" customFormat="1" ht="12" customHeight="1" thickBot="1">
      <c r="A24" s="20" t="s">
        <v>20</v>
      </c>
      <c r="B24" s="21" t="s">
        <v>257</v>
      </c>
      <c r="C24" s="274">
        <f>+C25+C26+C27+C28+C29</f>
        <v>0</v>
      </c>
    </row>
    <row r="25" spans="1:3" s="391" customFormat="1" ht="12" customHeight="1">
      <c r="A25" s="15" t="s">
        <v>86</v>
      </c>
      <c r="B25" s="392" t="s">
        <v>258</v>
      </c>
      <c r="C25" s="277"/>
    </row>
    <row r="26" spans="1:3" s="391" customFormat="1" ht="12" customHeight="1">
      <c r="A26" s="14" t="s">
        <v>87</v>
      </c>
      <c r="B26" s="393" t="s">
        <v>259</v>
      </c>
      <c r="C26" s="276"/>
    </row>
    <row r="27" spans="1:3" s="391" customFormat="1" ht="12" customHeight="1">
      <c r="A27" s="14" t="s">
        <v>88</v>
      </c>
      <c r="B27" s="393" t="s">
        <v>416</v>
      </c>
      <c r="C27" s="276"/>
    </row>
    <row r="28" spans="1:3" s="391" customFormat="1" ht="12" customHeight="1">
      <c r="A28" s="14" t="s">
        <v>89</v>
      </c>
      <c r="B28" s="393" t="s">
        <v>417</v>
      </c>
      <c r="C28" s="276"/>
    </row>
    <row r="29" spans="1:3" s="391" customFormat="1" ht="12" customHeight="1">
      <c r="A29" s="14" t="s">
        <v>167</v>
      </c>
      <c r="B29" s="393" t="s">
        <v>260</v>
      </c>
      <c r="C29" s="276"/>
    </row>
    <row r="30" spans="1:3" s="529" customFormat="1" ht="12" customHeight="1" thickBot="1">
      <c r="A30" s="538" t="s">
        <v>168</v>
      </c>
      <c r="B30" s="527" t="s">
        <v>556</v>
      </c>
      <c r="C30" s="528"/>
    </row>
    <row r="31" spans="1:3" s="391" customFormat="1" ht="12" customHeight="1" thickBot="1">
      <c r="A31" s="20" t="s">
        <v>169</v>
      </c>
      <c r="B31" s="21" t="s">
        <v>540</v>
      </c>
      <c r="C31" s="280">
        <f>SUM(C32:C38)</f>
        <v>0</v>
      </c>
    </row>
    <row r="32" spans="1:3" s="391" customFormat="1" ht="12" customHeight="1">
      <c r="A32" s="15" t="s">
        <v>263</v>
      </c>
      <c r="B32" s="392" t="str">
        <f>'KV_1.1.sz.mell.'!B32</f>
        <v>Építményadó</v>
      </c>
      <c r="C32" s="277"/>
    </row>
    <row r="33" spans="1:3" s="391" customFormat="1" ht="12" customHeight="1">
      <c r="A33" s="14" t="s">
        <v>264</v>
      </c>
      <c r="B33" s="392" t="str">
        <f>'KV_1.1.sz.mell.'!B33</f>
        <v>Telekadó</v>
      </c>
      <c r="C33" s="276"/>
    </row>
    <row r="34" spans="1:3" s="391" customFormat="1" ht="12" customHeight="1">
      <c r="A34" s="14" t="s">
        <v>265</v>
      </c>
      <c r="B34" s="392" t="str">
        <f>'KV_1.1.sz.mell.'!B34</f>
        <v>Iparűzési adó</v>
      </c>
      <c r="C34" s="276"/>
    </row>
    <row r="35" spans="1:3" s="391" customFormat="1" ht="12" customHeight="1">
      <c r="A35" s="14" t="s">
        <v>266</v>
      </c>
      <c r="B35" s="392" t="str">
        <f>'KV_1.1.sz.mell.'!B35</f>
        <v>Idegenforgalmi adó</v>
      </c>
      <c r="C35" s="276"/>
    </row>
    <row r="36" spans="1:3" s="391" customFormat="1" ht="12" customHeight="1">
      <c r="A36" s="14" t="s">
        <v>541</v>
      </c>
      <c r="B36" s="392" t="str">
        <f>'KV_1.1.sz.mell.'!B36</f>
        <v>Gépjárműadó</v>
      </c>
      <c r="C36" s="276"/>
    </row>
    <row r="37" spans="1:3" s="391" customFormat="1" ht="12" customHeight="1">
      <c r="A37" s="14" t="s">
        <v>542</v>
      </c>
      <c r="B37" s="392" t="str">
        <f>'KV_1.1.sz.mell.'!B37</f>
        <v>Települési adó</v>
      </c>
      <c r="C37" s="276"/>
    </row>
    <row r="38" spans="1:3" s="391" customFormat="1" ht="12" customHeight="1" thickBot="1">
      <c r="A38" s="16" t="s">
        <v>543</v>
      </c>
      <c r="B38" s="392" t="str">
        <f>'KV_1.1.sz.mell.'!B38</f>
        <v>Egyéb adó</v>
      </c>
      <c r="C38" s="278"/>
    </row>
    <row r="39" spans="1:3" s="391" customFormat="1" ht="12" customHeight="1" thickBot="1">
      <c r="A39" s="20" t="s">
        <v>22</v>
      </c>
      <c r="B39" s="21" t="s">
        <v>426</v>
      </c>
      <c r="C39" s="274">
        <f>SUM(C40:C50)</f>
        <v>0</v>
      </c>
    </row>
    <row r="40" spans="1:3" s="391" customFormat="1" ht="12" customHeight="1">
      <c r="A40" s="15" t="s">
        <v>90</v>
      </c>
      <c r="B40" s="392" t="s">
        <v>270</v>
      </c>
      <c r="C40" s="277"/>
    </row>
    <row r="41" spans="1:3" s="391" customFormat="1" ht="12" customHeight="1">
      <c r="A41" s="14" t="s">
        <v>91</v>
      </c>
      <c r="B41" s="393" t="s">
        <v>271</v>
      </c>
      <c r="C41" s="276"/>
    </row>
    <row r="42" spans="1:3" s="391" customFormat="1" ht="12" customHeight="1">
      <c r="A42" s="14" t="s">
        <v>92</v>
      </c>
      <c r="B42" s="393" t="s">
        <v>272</v>
      </c>
      <c r="C42" s="276"/>
    </row>
    <row r="43" spans="1:3" s="391" customFormat="1" ht="12" customHeight="1">
      <c r="A43" s="14" t="s">
        <v>171</v>
      </c>
      <c r="B43" s="393" t="s">
        <v>273</v>
      </c>
      <c r="C43" s="276"/>
    </row>
    <row r="44" spans="1:3" s="391" customFormat="1" ht="12" customHeight="1">
      <c r="A44" s="14" t="s">
        <v>172</v>
      </c>
      <c r="B44" s="393" t="s">
        <v>274</v>
      </c>
      <c r="C44" s="276"/>
    </row>
    <row r="45" spans="1:3" s="391" customFormat="1" ht="12" customHeight="1">
      <c r="A45" s="14" t="s">
        <v>173</v>
      </c>
      <c r="B45" s="393" t="s">
        <v>275</v>
      </c>
      <c r="C45" s="276"/>
    </row>
    <row r="46" spans="1:3" s="391" customFormat="1" ht="12" customHeight="1">
      <c r="A46" s="14" t="s">
        <v>174</v>
      </c>
      <c r="B46" s="393" t="s">
        <v>276</v>
      </c>
      <c r="C46" s="276"/>
    </row>
    <row r="47" spans="1:3" s="391" customFormat="1" ht="12" customHeight="1">
      <c r="A47" s="14" t="s">
        <v>175</v>
      </c>
      <c r="B47" s="393" t="s">
        <v>547</v>
      </c>
      <c r="C47" s="276"/>
    </row>
    <row r="48" spans="1:3" s="391" customFormat="1" ht="12" customHeight="1">
      <c r="A48" s="14" t="s">
        <v>268</v>
      </c>
      <c r="B48" s="393" t="s">
        <v>278</v>
      </c>
      <c r="C48" s="279"/>
    </row>
    <row r="49" spans="1:3" s="391" customFormat="1" ht="12" customHeight="1">
      <c r="A49" s="16" t="s">
        <v>269</v>
      </c>
      <c r="B49" s="394" t="s">
        <v>428</v>
      </c>
      <c r="C49" s="380"/>
    </row>
    <row r="50" spans="1:3" s="391" customFormat="1" ht="12" customHeight="1" thickBot="1">
      <c r="A50" s="16" t="s">
        <v>427</v>
      </c>
      <c r="B50" s="271" t="s">
        <v>279</v>
      </c>
      <c r="C50" s="380"/>
    </row>
    <row r="51" spans="1:3" s="391" customFormat="1" ht="12" customHeight="1" thickBot="1">
      <c r="A51" s="20" t="s">
        <v>23</v>
      </c>
      <c r="B51" s="21" t="s">
        <v>280</v>
      </c>
      <c r="C51" s="274">
        <f>SUM(C52:C56)</f>
        <v>0</v>
      </c>
    </row>
    <row r="52" spans="1:3" s="391" customFormat="1" ht="12" customHeight="1">
      <c r="A52" s="15" t="s">
        <v>93</v>
      </c>
      <c r="B52" s="392" t="s">
        <v>284</v>
      </c>
      <c r="C52" s="436"/>
    </row>
    <row r="53" spans="1:3" s="391" customFormat="1" ht="12" customHeight="1">
      <c r="A53" s="14" t="s">
        <v>94</v>
      </c>
      <c r="B53" s="393" t="s">
        <v>285</v>
      </c>
      <c r="C53" s="279"/>
    </row>
    <row r="54" spans="1:3" s="391" customFormat="1" ht="12" customHeight="1">
      <c r="A54" s="14" t="s">
        <v>281</v>
      </c>
      <c r="B54" s="393" t="s">
        <v>286</v>
      </c>
      <c r="C54" s="279"/>
    </row>
    <row r="55" spans="1:3" s="391" customFormat="1" ht="12" customHeight="1">
      <c r="A55" s="14" t="s">
        <v>282</v>
      </c>
      <c r="B55" s="393" t="s">
        <v>287</v>
      </c>
      <c r="C55" s="279"/>
    </row>
    <row r="56" spans="1:3" s="391" customFormat="1" ht="12" customHeight="1" thickBot="1">
      <c r="A56" s="16" t="s">
        <v>283</v>
      </c>
      <c r="B56" s="271" t="s">
        <v>288</v>
      </c>
      <c r="C56" s="380"/>
    </row>
    <row r="57" spans="1:3" s="391" customFormat="1" ht="12" customHeight="1" thickBot="1">
      <c r="A57" s="20" t="s">
        <v>176</v>
      </c>
      <c r="B57" s="21" t="s">
        <v>289</v>
      </c>
      <c r="C57" s="274">
        <f>SUM(C58:C60)</f>
        <v>0</v>
      </c>
    </row>
    <row r="58" spans="1:3" s="391" customFormat="1" ht="12" customHeight="1">
      <c r="A58" s="15" t="s">
        <v>95</v>
      </c>
      <c r="B58" s="392" t="s">
        <v>290</v>
      </c>
      <c r="C58" s="277"/>
    </row>
    <row r="59" spans="1:3" s="391" customFormat="1" ht="12" customHeight="1">
      <c r="A59" s="14" t="s">
        <v>96</v>
      </c>
      <c r="B59" s="393" t="s">
        <v>418</v>
      </c>
      <c r="C59" s="276"/>
    </row>
    <row r="60" spans="1:3" s="391" customFormat="1" ht="12" customHeight="1">
      <c r="A60" s="14" t="s">
        <v>293</v>
      </c>
      <c r="B60" s="393" t="s">
        <v>291</v>
      </c>
      <c r="C60" s="276"/>
    </row>
    <row r="61" spans="1:3" s="391" customFormat="1" ht="12" customHeight="1" thickBot="1">
      <c r="A61" s="16" t="s">
        <v>294</v>
      </c>
      <c r="B61" s="271" t="s">
        <v>292</v>
      </c>
      <c r="C61" s="278"/>
    </row>
    <row r="62" spans="1:3" s="391" customFormat="1" ht="12" customHeight="1" thickBot="1">
      <c r="A62" s="20" t="s">
        <v>25</v>
      </c>
      <c r="B62" s="269" t="s">
        <v>295</v>
      </c>
      <c r="C62" s="274">
        <f>SUM(C63:C65)</f>
        <v>0</v>
      </c>
    </row>
    <row r="63" spans="1:3" s="391" customFormat="1" ht="12" customHeight="1">
      <c r="A63" s="15" t="s">
        <v>177</v>
      </c>
      <c r="B63" s="392" t="s">
        <v>297</v>
      </c>
      <c r="C63" s="279"/>
    </row>
    <row r="64" spans="1:3" s="391" customFormat="1" ht="12" customHeight="1">
      <c r="A64" s="14" t="s">
        <v>178</v>
      </c>
      <c r="B64" s="393" t="s">
        <v>419</v>
      </c>
      <c r="C64" s="279"/>
    </row>
    <row r="65" spans="1:3" s="391" customFormat="1" ht="12" customHeight="1">
      <c r="A65" s="14" t="s">
        <v>226</v>
      </c>
      <c r="B65" s="393" t="s">
        <v>298</v>
      </c>
      <c r="C65" s="279"/>
    </row>
    <row r="66" spans="1:3" s="391" customFormat="1" ht="12" customHeight="1" thickBot="1">
      <c r="A66" s="16" t="s">
        <v>296</v>
      </c>
      <c r="B66" s="271" t="s">
        <v>299</v>
      </c>
      <c r="C66" s="279"/>
    </row>
    <row r="67" spans="1:3" s="391" customFormat="1" ht="12" customHeight="1" thickBot="1">
      <c r="A67" s="463" t="s">
        <v>468</v>
      </c>
      <c r="B67" s="21" t="s">
        <v>300</v>
      </c>
      <c r="C67" s="280">
        <f>+C10+C17+C24+C31+C39+C51+C57+C62</f>
        <v>0</v>
      </c>
    </row>
    <row r="68" spans="1:3" s="391" customFormat="1" ht="12" customHeight="1" thickBot="1">
      <c r="A68" s="439" t="s">
        <v>301</v>
      </c>
      <c r="B68" s="269" t="s">
        <v>302</v>
      </c>
      <c r="C68" s="274">
        <f>SUM(C69:C71)</f>
        <v>0</v>
      </c>
    </row>
    <row r="69" spans="1:3" s="391" customFormat="1" ht="12" customHeight="1">
      <c r="A69" s="15" t="s">
        <v>330</v>
      </c>
      <c r="B69" s="392" t="s">
        <v>303</v>
      </c>
      <c r="C69" s="279"/>
    </row>
    <row r="70" spans="1:3" s="391" customFormat="1" ht="12" customHeight="1">
      <c r="A70" s="14" t="s">
        <v>339</v>
      </c>
      <c r="B70" s="393" t="s">
        <v>304</v>
      </c>
      <c r="C70" s="279"/>
    </row>
    <row r="71" spans="1:3" s="391" customFormat="1" ht="12" customHeight="1" thickBot="1">
      <c r="A71" s="16" t="s">
        <v>340</v>
      </c>
      <c r="B71" s="457" t="s">
        <v>557</v>
      </c>
      <c r="C71" s="279"/>
    </row>
    <row r="72" spans="1:3" s="391" customFormat="1" ht="12" customHeight="1" thickBot="1">
      <c r="A72" s="439" t="s">
        <v>306</v>
      </c>
      <c r="B72" s="269" t="s">
        <v>307</v>
      </c>
      <c r="C72" s="274">
        <f>SUM(C73:C76)</f>
        <v>0</v>
      </c>
    </row>
    <row r="73" spans="1:3" s="391" customFormat="1" ht="12" customHeight="1">
      <c r="A73" s="15" t="s">
        <v>146</v>
      </c>
      <c r="B73" s="392" t="s">
        <v>308</v>
      </c>
      <c r="C73" s="279"/>
    </row>
    <row r="74" spans="1:3" s="391" customFormat="1" ht="12" customHeight="1">
      <c r="A74" s="14" t="s">
        <v>147</v>
      </c>
      <c r="B74" s="393" t="s">
        <v>558</v>
      </c>
      <c r="C74" s="279"/>
    </row>
    <row r="75" spans="1:3" s="391" customFormat="1" ht="12" customHeight="1" thickBot="1">
      <c r="A75" s="16" t="s">
        <v>331</v>
      </c>
      <c r="B75" s="394" t="s">
        <v>309</v>
      </c>
      <c r="C75" s="380"/>
    </row>
    <row r="76" spans="1:3" s="391" customFormat="1" ht="12" customHeight="1" thickBot="1">
      <c r="A76" s="540" t="s">
        <v>332</v>
      </c>
      <c r="B76" s="541" t="s">
        <v>559</v>
      </c>
      <c r="C76" s="542"/>
    </row>
    <row r="77" spans="1:3" s="391" customFormat="1" ht="12" customHeight="1" thickBot="1">
      <c r="A77" s="439" t="s">
        <v>310</v>
      </c>
      <c r="B77" s="269" t="s">
        <v>311</v>
      </c>
      <c r="C77" s="274">
        <f>SUM(C78:C79)</f>
        <v>0</v>
      </c>
    </row>
    <row r="78" spans="1:3" s="391" customFormat="1" ht="12" customHeight="1" thickBot="1">
      <c r="A78" s="13" t="s">
        <v>333</v>
      </c>
      <c r="B78" s="539" t="s">
        <v>312</v>
      </c>
      <c r="C78" s="380"/>
    </row>
    <row r="79" spans="1:3" s="391" customFormat="1" ht="12" customHeight="1" thickBot="1">
      <c r="A79" s="540" t="s">
        <v>334</v>
      </c>
      <c r="B79" s="541" t="s">
        <v>313</v>
      </c>
      <c r="C79" s="542"/>
    </row>
    <row r="80" spans="1:3" s="391" customFormat="1" ht="12" customHeight="1" thickBot="1">
      <c r="A80" s="439" t="s">
        <v>314</v>
      </c>
      <c r="B80" s="269" t="s">
        <v>315</v>
      </c>
      <c r="C80" s="274">
        <f>SUM(C81:C83)</f>
        <v>0</v>
      </c>
    </row>
    <row r="81" spans="1:3" s="391" customFormat="1" ht="12" customHeight="1">
      <c r="A81" s="15" t="s">
        <v>335</v>
      </c>
      <c r="B81" s="392" t="s">
        <v>316</v>
      </c>
      <c r="C81" s="279"/>
    </row>
    <row r="82" spans="1:3" s="391" customFormat="1" ht="12" customHeight="1">
      <c r="A82" s="14" t="s">
        <v>336</v>
      </c>
      <c r="B82" s="393" t="s">
        <v>317</v>
      </c>
      <c r="C82" s="279"/>
    </row>
    <row r="83" spans="1:3" s="391" customFormat="1" ht="12" customHeight="1" thickBot="1">
      <c r="A83" s="18" t="s">
        <v>337</v>
      </c>
      <c r="B83" s="543" t="s">
        <v>560</v>
      </c>
      <c r="C83" s="544"/>
    </row>
    <row r="84" spans="1:3" s="391" customFormat="1" ht="12" customHeight="1" thickBot="1">
      <c r="A84" s="439" t="s">
        <v>318</v>
      </c>
      <c r="B84" s="269" t="s">
        <v>338</v>
      </c>
      <c r="C84" s="274">
        <f>SUM(C85:C88)</f>
        <v>0</v>
      </c>
    </row>
    <row r="85" spans="1:3" s="391" customFormat="1" ht="12" customHeight="1">
      <c r="A85" s="396" t="s">
        <v>319</v>
      </c>
      <c r="B85" s="392" t="s">
        <v>320</v>
      </c>
      <c r="C85" s="279"/>
    </row>
    <row r="86" spans="1:3" s="391" customFormat="1" ht="12" customHeight="1">
      <c r="A86" s="397" t="s">
        <v>321</v>
      </c>
      <c r="B86" s="393" t="s">
        <v>322</v>
      </c>
      <c r="C86" s="279"/>
    </row>
    <row r="87" spans="1:3" s="391" customFormat="1" ht="12" customHeight="1">
      <c r="A87" s="397" t="s">
        <v>323</v>
      </c>
      <c r="B87" s="393" t="s">
        <v>324</v>
      </c>
      <c r="C87" s="279"/>
    </row>
    <row r="88" spans="1:3" s="391" customFormat="1" ht="12" customHeight="1" thickBot="1">
      <c r="A88" s="398" t="s">
        <v>325</v>
      </c>
      <c r="B88" s="271" t="s">
        <v>326</v>
      </c>
      <c r="C88" s="279"/>
    </row>
    <row r="89" spans="1:3" s="391" customFormat="1" ht="12" customHeight="1" thickBot="1">
      <c r="A89" s="439" t="s">
        <v>327</v>
      </c>
      <c r="B89" s="269" t="s">
        <v>467</v>
      </c>
      <c r="C89" s="437"/>
    </row>
    <row r="90" spans="1:3" s="391" customFormat="1" ht="13.5" customHeight="1" thickBot="1">
      <c r="A90" s="439" t="s">
        <v>329</v>
      </c>
      <c r="B90" s="269" t="s">
        <v>328</v>
      </c>
      <c r="C90" s="437"/>
    </row>
    <row r="91" spans="1:3" s="391" customFormat="1" ht="15.75" customHeight="1" thickBot="1">
      <c r="A91" s="439" t="s">
        <v>341</v>
      </c>
      <c r="B91" s="399" t="s">
        <v>470</v>
      </c>
      <c r="C91" s="280">
        <f>+C68+C72+C77+C80+C84+C90+C89</f>
        <v>0</v>
      </c>
    </row>
    <row r="92" spans="1:3" s="391" customFormat="1" ht="16.5" customHeight="1" thickBot="1">
      <c r="A92" s="440" t="s">
        <v>469</v>
      </c>
      <c r="B92" s="400" t="s">
        <v>471</v>
      </c>
      <c r="C92" s="280">
        <f>+C67+C91</f>
        <v>0</v>
      </c>
    </row>
    <row r="93" spans="1:3" s="391" customFormat="1" ht="10.5" customHeight="1">
      <c r="A93" s="5"/>
      <c r="B93" s="6"/>
      <c r="C93" s="281"/>
    </row>
    <row r="94" spans="1:3" ht="16.5" customHeight="1">
      <c r="A94" s="757" t="s">
        <v>47</v>
      </c>
      <c r="B94" s="757"/>
      <c r="C94" s="757"/>
    </row>
    <row r="95" spans="1:3" s="401" customFormat="1" ht="16.5" customHeight="1" thickBot="1">
      <c r="A95" s="754" t="s">
        <v>150</v>
      </c>
      <c r="B95" s="754"/>
      <c r="C95" s="551" t="str">
        <f>C7</f>
        <v>Forintban!</v>
      </c>
    </row>
    <row r="96" spans="1:3" ht="30" customHeight="1" thickBot="1">
      <c r="A96" s="532" t="s">
        <v>69</v>
      </c>
      <c r="B96" s="533" t="s">
        <v>48</v>
      </c>
      <c r="C96" s="534" t="str">
        <f>+C8</f>
        <v>2020. évi előirányzat</v>
      </c>
    </row>
    <row r="97" spans="1:3" s="390" customFormat="1" ht="12" customHeight="1" thickBot="1">
      <c r="A97" s="532"/>
      <c r="B97" s="533" t="s">
        <v>485</v>
      </c>
      <c r="C97" s="534" t="s">
        <v>486</v>
      </c>
    </row>
    <row r="98" spans="1:3" ht="12" customHeight="1" thickBot="1">
      <c r="A98" s="22" t="s">
        <v>18</v>
      </c>
      <c r="B98" s="28" t="s">
        <v>429</v>
      </c>
      <c r="C98" s="273">
        <f>C99+C100+C101+C102+C103+C116</f>
        <v>0</v>
      </c>
    </row>
    <row r="99" spans="1:3" ht="12" customHeight="1">
      <c r="A99" s="17" t="s">
        <v>97</v>
      </c>
      <c r="B99" s="10" t="s">
        <v>49</v>
      </c>
      <c r="C99" s="275"/>
    </row>
    <row r="100" spans="1:3" ht="12" customHeight="1">
      <c r="A100" s="14" t="s">
        <v>98</v>
      </c>
      <c r="B100" s="8" t="s">
        <v>179</v>
      </c>
      <c r="C100" s="276"/>
    </row>
    <row r="101" spans="1:3" ht="12" customHeight="1">
      <c r="A101" s="14" t="s">
        <v>99</v>
      </c>
      <c r="B101" s="8" t="s">
        <v>137</v>
      </c>
      <c r="C101" s="278"/>
    </row>
    <row r="102" spans="1:3" ht="12" customHeight="1">
      <c r="A102" s="14" t="s">
        <v>100</v>
      </c>
      <c r="B102" s="11" t="s">
        <v>180</v>
      </c>
      <c r="C102" s="278"/>
    </row>
    <row r="103" spans="1:3" ht="12" customHeight="1">
      <c r="A103" s="14" t="s">
        <v>111</v>
      </c>
      <c r="B103" s="19" t="s">
        <v>181</v>
      </c>
      <c r="C103" s="278"/>
    </row>
    <row r="104" spans="1:3" ht="12" customHeight="1">
      <c r="A104" s="14" t="s">
        <v>101</v>
      </c>
      <c r="B104" s="8" t="s">
        <v>434</v>
      </c>
      <c r="C104" s="278"/>
    </row>
    <row r="105" spans="1:3" ht="12" customHeight="1">
      <c r="A105" s="14" t="s">
        <v>102</v>
      </c>
      <c r="B105" s="138" t="s">
        <v>433</v>
      </c>
      <c r="C105" s="278"/>
    </row>
    <row r="106" spans="1:3" ht="12" customHeight="1">
      <c r="A106" s="14" t="s">
        <v>112</v>
      </c>
      <c r="B106" s="138" t="s">
        <v>432</v>
      </c>
      <c r="C106" s="278"/>
    </row>
    <row r="107" spans="1:3" ht="12" customHeight="1">
      <c r="A107" s="14" t="s">
        <v>113</v>
      </c>
      <c r="B107" s="136" t="s">
        <v>344</v>
      </c>
      <c r="C107" s="278"/>
    </row>
    <row r="108" spans="1:3" ht="12" customHeight="1">
      <c r="A108" s="14" t="s">
        <v>114</v>
      </c>
      <c r="B108" s="137" t="s">
        <v>345</v>
      </c>
      <c r="C108" s="278"/>
    </row>
    <row r="109" spans="1:3" ht="12" customHeight="1">
      <c r="A109" s="14" t="s">
        <v>115</v>
      </c>
      <c r="B109" s="137" t="s">
        <v>346</v>
      </c>
      <c r="C109" s="278"/>
    </row>
    <row r="110" spans="1:3" ht="12" customHeight="1">
      <c r="A110" s="14" t="s">
        <v>117</v>
      </c>
      <c r="B110" s="136" t="s">
        <v>347</v>
      </c>
      <c r="C110" s="278"/>
    </row>
    <row r="111" spans="1:3" ht="12" customHeight="1">
      <c r="A111" s="14" t="s">
        <v>182</v>
      </c>
      <c r="B111" s="136" t="s">
        <v>348</v>
      </c>
      <c r="C111" s="278"/>
    </row>
    <row r="112" spans="1:3" ht="12" customHeight="1">
      <c r="A112" s="14" t="s">
        <v>342</v>
      </c>
      <c r="B112" s="137" t="s">
        <v>349</v>
      </c>
      <c r="C112" s="278"/>
    </row>
    <row r="113" spans="1:3" ht="12" customHeight="1">
      <c r="A113" s="13" t="s">
        <v>343</v>
      </c>
      <c r="B113" s="138" t="s">
        <v>350</v>
      </c>
      <c r="C113" s="278"/>
    </row>
    <row r="114" spans="1:3" ht="12" customHeight="1">
      <c r="A114" s="14" t="s">
        <v>430</v>
      </c>
      <c r="B114" s="138" t="s">
        <v>351</v>
      </c>
      <c r="C114" s="278"/>
    </row>
    <row r="115" spans="1:3" ht="12" customHeight="1">
      <c r="A115" s="16" t="s">
        <v>431</v>
      </c>
      <c r="B115" s="138" t="s">
        <v>352</v>
      </c>
      <c r="C115" s="278"/>
    </row>
    <row r="116" spans="1:3" ht="12" customHeight="1">
      <c r="A116" s="14" t="s">
        <v>435</v>
      </c>
      <c r="B116" s="11" t="s">
        <v>50</v>
      </c>
      <c r="C116" s="276"/>
    </row>
    <row r="117" spans="1:3" ht="12" customHeight="1">
      <c r="A117" s="14" t="s">
        <v>436</v>
      </c>
      <c r="B117" s="8" t="s">
        <v>438</v>
      </c>
      <c r="C117" s="276"/>
    </row>
    <row r="118" spans="1:3" ht="12" customHeight="1" thickBot="1">
      <c r="A118" s="18" t="s">
        <v>437</v>
      </c>
      <c r="B118" s="461" t="s">
        <v>439</v>
      </c>
      <c r="C118" s="282"/>
    </row>
    <row r="119" spans="1:3" ht="12" customHeight="1" thickBot="1">
      <c r="A119" s="458" t="s">
        <v>19</v>
      </c>
      <c r="B119" s="459" t="s">
        <v>353</v>
      </c>
      <c r="C119" s="460">
        <f>+C120+C122+C124</f>
        <v>0</v>
      </c>
    </row>
    <row r="120" spans="1:3" ht="12" customHeight="1">
      <c r="A120" s="15" t="s">
        <v>103</v>
      </c>
      <c r="B120" s="8" t="s">
        <v>225</v>
      </c>
      <c r="C120" s="277"/>
    </row>
    <row r="121" spans="1:3" ht="12" customHeight="1">
      <c r="A121" s="15" t="s">
        <v>104</v>
      </c>
      <c r="B121" s="12" t="s">
        <v>357</v>
      </c>
      <c r="C121" s="277"/>
    </row>
    <row r="122" spans="1:3" ht="12" customHeight="1">
      <c r="A122" s="15" t="s">
        <v>105</v>
      </c>
      <c r="B122" s="12" t="s">
        <v>183</v>
      </c>
      <c r="C122" s="276"/>
    </row>
    <row r="123" spans="1:3" ht="12" customHeight="1">
      <c r="A123" s="15" t="s">
        <v>106</v>
      </c>
      <c r="B123" s="12" t="s">
        <v>358</v>
      </c>
      <c r="C123" s="245"/>
    </row>
    <row r="124" spans="1:3" ht="12" customHeight="1">
      <c r="A124" s="15" t="s">
        <v>107</v>
      </c>
      <c r="B124" s="271" t="s">
        <v>562</v>
      </c>
      <c r="C124" s="245"/>
    </row>
    <row r="125" spans="1:3" ht="12" customHeight="1">
      <c r="A125" s="15" t="s">
        <v>116</v>
      </c>
      <c r="B125" s="270" t="s">
        <v>420</v>
      </c>
      <c r="C125" s="245"/>
    </row>
    <row r="126" spans="1:3" ht="12" customHeight="1">
      <c r="A126" s="15" t="s">
        <v>118</v>
      </c>
      <c r="B126" s="388" t="s">
        <v>363</v>
      </c>
      <c r="C126" s="245"/>
    </row>
    <row r="127" spans="1:3" ht="15.75">
      <c r="A127" s="15" t="s">
        <v>184</v>
      </c>
      <c r="B127" s="137" t="s">
        <v>346</v>
      </c>
      <c r="C127" s="245"/>
    </row>
    <row r="128" spans="1:3" ht="12" customHeight="1">
      <c r="A128" s="15" t="s">
        <v>185</v>
      </c>
      <c r="B128" s="137" t="s">
        <v>362</v>
      </c>
      <c r="C128" s="245"/>
    </row>
    <row r="129" spans="1:3" ht="12" customHeight="1">
      <c r="A129" s="15" t="s">
        <v>186</v>
      </c>
      <c r="B129" s="137" t="s">
        <v>361</v>
      </c>
      <c r="C129" s="245"/>
    </row>
    <row r="130" spans="1:3" ht="12" customHeight="1">
      <c r="A130" s="15" t="s">
        <v>354</v>
      </c>
      <c r="B130" s="137" t="s">
        <v>349</v>
      </c>
      <c r="C130" s="245"/>
    </row>
    <row r="131" spans="1:3" ht="12" customHeight="1">
      <c r="A131" s="15" t="s">
        <v>355</v>
      </c>
      <c r="B131" s="137" t="s">
        <v>360</v>
      </c>
      <c r="C131" s="245"/>
    </row>
    <row r="132" spans="1:3" ht="16.5" thickBot="1">
      <c r="A132" s="13" t="s">
        <v>356</v>
      </c>
      <c r="B132" s="137" t="s">
        <v>359</v>
      </c>
      <c r="C132" s="247"/>
    </row>
    <row r="133" spans="1:3" ht="12" customHeight="1" thickBot="1">
      <c r="A133" s="20" t="s">
        <v>20</v>
      </c>
      <c r="B133" s="118" t="s">
        <v>440</v>
      </c>
      <c r="C133" s="274">
        <f>+C98+C119</f>
        <v>0</v>
      </c>
    </row>
    <row r="134" spans="1:3" ht="12" customHeight="1" thickBot="1">
      <c r="A134" s="20" t="s">
        <v>21</v>
      </c>
      <c r="B134" s="118" t="s">
        <v>441</v>
      </c>
      <c r="C134" s="274">
        <f>+C135+C136+C137</f>
        <v>0</v>
      </c>
    </row>
    <row r="135" spans="1:3" ht="12" customHeight="1">
      <c r="A135" s="15" t="s">
        <v>263</v>
      </c>
      <c r="B135" s="12" t="s">
        <v>448</v>
      </c>
      <c r="C135" s="245"/>
    </row>
    <row r="136" spans="1:3" ht="12" customHeight="1">
      <c r="A136" s="15" t="s">
        <v>264</v>
      </c>
      <c r="B136" s="12" t="s">
        <v>449</v>
      </c>
      <c r="C136" s="245"/>
    </row>
    <row r="137" spans="1:3" ht="12" customHeight="1" thickBot="1">
      <c r="A137" s="13" t="s">
        <v>265</v>
      </c>
      <c r="B137" s="12" t="s">
        <v>450</v>
      </c>
      <c r="C137" s="245"/>
    </row>
    <row r="138" spans="1:3" ht="12" customHeight="1" thickBot="1">
      <c r="A138" s="20" t="s">
        <v>22</v>
      </c>
      <c r="B138" s="118" t="s">
        <v>442</v>
      </c>
      <c r="C138" s="274">
        <f>SUM(C139:C144)</f>
        <v>0</v>
      </c>
    </row>
    <row r="139" spans="1:3" ht="12" customHeight="1">
      <c r="A139" s="15" t="s">
        <v>90</v>
      </c>
      <c r="B139" s="9" t="s">
        <v>451</v>
      </c>
      <c r="C139" s="245"/>
    </row>
    <row r="140" spans="1:3" ht="12" customHeight="1">
      <c r="A140" s="15" t="s">
        <v>91</v>
      </c>
      <c r="B140" s="9" t="s">
        <v>443</v>
      </c>
      <c r="C140" s="245"/>
    </row>
    <row r="141" spans="1:3" ht="12" customHeight="1">
      <c r="A141" s="15" t="s">
        <v>92</v>
      </c>
      <c r="B141" s="9" t="s">
        <v>444</v>
      </c>
      <c r="C141" s="245"/>
    </row>
    <row r="142" spans="1:3" ht="12" customHeight="1">
      <c r="A142" s="15" t="s">
        <v>171</v>
      </c>
      <c r="B142" s="9" t="s">
        <v>445</v>
      </c>
      <c r="C142" s="245"/>
    </row>
    <row r="143" spans="1:3" ht="12" customHeight="1">
      <c r="A143" s="13" t="s">
        <v>172</v>
      </c>
      <c r="B143" s="7" t="s">
        <v>446</v>
      </c>
      <c r="C143" s="247"/>
    </row>
    <row r="144" spans="1:3" ht="12" customHeight="1" thickBot="1">
      <c r="A144" s="18" t="s">
        <v>173</v>
      </c>
      <c r="B144" s="690" t="s">
        <v>447</v>
      </c>
      <c r="C144" s="468"/>
    </row>
    <row r="145" spans="1:3" ht="12" customHeight="1" thickBot="1">
      <c r="A145" s="20" t="s">
        <v>23</v>
      </c>
      <c r="B145" s="118" t="s">
        <v>455</v>
      </c>
      <c r="C145" s="280">
        <f>+C146+C147+C148+C149</f>
        <v>0</v>
      </c>
    </row>
    <row r="146" spans="1:3" ht="12" customHeight="1">
      <c r="A146" s="15" t="s">
        <v>93</v>
      </c>
      <c r="B146" s="9" t="s">
        <v>364</v>
      </c>
      <c r="C146" s="245"/>
    </row>
    <row r="147" spans="1:3" ht="12" customHeight="1">
      <c r="A147" s="15" t="s">
        <v>94</v>
      </c>
      <c r="B147" s="9" t="s">
        <v>365</v>
      </c>
      <c r="C147" s="245"/>
    </row>
    <row r="148" spans="1:3" ht="12" customHeight="1" thickBot="1">
      <c r="A148" s="13" t="s">
        <v>281</v>
      </c>
      <c r="B148" s="7" t="s">
        <v>456</v>
      </c>
      <c r="C148" s="247"/>
    </row>
    <row r="149" spans="1:3" ht="12" customHeight="1" thickBot="1">
      <c r="A149" s="540" t="s">
        <v>282</v>
      </c>
      <c r="B149" s="545" t="s">
        <v>383</v>
      </c>
      <c r="C149" s="546"/>
    </row>
    <row r="150" spans="1:3" ht="12" customHeight="1" thickBot="1">
      <c r="A150" s="20" t="s">
        <v>24</v>
      </c>
      <c r="B150" s="118" t="s">
        <v>457</v>
      </c>
      <c r="C150" s="283">
        <f>SUM(C151:C155)</f>
        <v>0</v>
      </c>
    </row>
    <row r="151" spans="1:3" ht="12" customHeight="1">
      <c r="A151" s="15" t="s">
        <v>95</v>
      </c>
      <c r="B151" s="9" t="s">
        <v>452</v>
      </c>
      <c r="C151" s="245"/>
    </row>
    <row r="152" spans="1:3" ht="12" customHeight="1">
      <c r="A152" s="15" t="s">
        <v>96</v>
      </c>
      <c r="B152" s="9" t="s">
        <v>459</v>
      </c>
      <c r="C152" s="245"/>
    </row>
    <row r="153" spans="1:3" ht="12" customHeight="1">
      <c r="A153" s="15" t="s">
        <v>293</v>
      </c>
      <c r="B153" s="9" t="s">
        <v>454</v>
      </c>
      <c r="C153" s="245"/>
    </row>
    <row r="154" spans="1:3" ht="12" customHeight="1">
      <c r="A154" s="15" t="s">
        <v>294</v>
      </c>
      <c r="B154" s="9" t="s">
        <v>510</v>
      </c>
      <c r="C154" s="245"/>
    </row>
    <row r="155" spans="1:3" ht="12" customHeight="1" thickBot="1">
      <c r="A155" s="15" t="s">
        <v>458</v>
      </c>
      <c r="B155" s="9" t="s">
        <v>461</v>
      </c>
      <c r="C155" s="245"/>
    </row>
    <row r="156" spans="1:3" ht="12" customHeight="1" thickBot="1">
      <c r="A156" s="20" t="s">
        <v>25</v>
      </c>
      <c r="B156" s="118" t="s">
        <v>462</v>
      </c>
      <c r="C156" s="462"/>
    </row>
    <row r="157" spans="1:3" ht="12" customHeight="1" thickBot="1">
      <c r="A157" s="20" t="s">
        <v>26</v>
      </c>
      <c r="B157" s="118" t="s">
        <v>463</v>
      </c>
      <c r="C157" s="462"/>
    </row>
    <row r="158" spans="1:9" ht="15" customHeight="1" thickBot="1">
      <c r="A158" s="20" t="s">
        <v>27</v>
      </c>
      <c r="B158" s="118" t="s">
        <v>465</v>
      </c>
      <c r="C158" s="547">
        <f>+C134+C138+C145+C150+C156+C157</f>
        <v>0</v>
      </c>
      <c r="F158" s="403"/>
      <c r="G158" s="404"/>
      <c r="H158" s="404"/>
      <c r="I158" s="404"/>
    </row>
    <row r="159" spans="1:3" s="391" customFormat="1" ht="17.25" customHeight="1" thickBot="1">
      <c r="A159" s="272" t="s">
        <v>28</v>
      </c>
      <c r="B159" s="548" t="s">
        <v>464</v>
      </c>
      <c r="C159" s="547">
        <f>+C133+C158</f>
        <v>0</v>
      </c>
    </row>
    <row r="160" spans="1:3" ht="15.75" customHeight="1">
      <c r="A160" s="549"/>
      <c r="B160" s="549"/>
      <c r="C160" s="604">
        <f>C92-C159</f>
        <v>0</v>
      </c>
    </row>
    <row r="161" spans="1:3" ht="15.75">
      <c r="A161" s="755" t="s">
        <v>366</v>
      </c>
      <c r="B161" s="755"/>
      <c r="C161" s="755"/>
    </row>
    <row r="162" spans="1:3" ht="15" customHeight="1" thickBot="1">
      <c r="A162" s="756" t="s">
        <v>151</v>
      </c>
      <c r="B162" s="756"/>
      <c r="C162" s="552" t="str">
        <f>C95</f>
        <v>Forintban!</v>
      </c>
    </row>
    <row r="163" spans="1:4" ht="13.5" customHeight="1" thickBot="1">
      <c r="A163" s="20">
        <v>1</v>
      </c>
      <c r="B163" s="27" t="s">
        <v>466</v>
      </c>
      <c r="C163" s="274">
        <f>+C67-C133</f>
        <v>0</v>
      </c>
      <c r="D163" s="405"/>
    </row>
    <row r="164" spans="1:3" ht="27.75" customHeight="1" thickBot="1">
      <c r="A164" s="20" t="s">
        <v>19</v>
      </c>
      <c r="B164" s="27" t="s">
        <v>472</v>
      </c>
      <c r="C164" s="274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00" workbookViewId="0" topLeftCell="A1">
      <selection activeCell="E12" sqref="E12"/>
    </sheetView>
  </sheetViews>
  <sheetFormatPr defaultColWidth="9.00390625" defaultRowHeight="12.75"/>
  <cols>
    <col min="1" max="1" width="6.875" style="54" customWidth="1"/>
    <col min="2" max="2" width="55.125" style="178" customWidth="1"/>
    <col min="3" max="3" width="16.375" style="54" customWidth="1"/>
    <col min="4" max="4" width="55.125" style="54" customWidth="1"/>
    <col min="5" max="5" width="16.375" style="54" customWidth="1"/>
    <col min="6" max="6" width="4.875" style="54" customWidth="1"/>
    <col min="7" max="16384" width="9.375" style="54" customWidth="1"/>
  </cols>
  <sheetData>
    <row r="1" spans="2:6" ht="39.75" customHeight="1">
      <c r="B1" s="296" t="s">
        <v>155</v>
      </c>
      <c r="C1" s="297"/>
      <c r="D1" s="297"/>
      <c r="E1" s="297"/>
      <c r="F1" s="760" t="str">
        <f>CONCATENATE("2.1. melléklet ",ALAPADATOK!A7," ",ALAPADATOK!B7," ",ALAPADATOK!C7," ",ALAPADATOK!D7," ",ALAPADATOK!E7," ",ALAPADATOK!F7," ",ALAPADATOK!G7," ",ALAPADATOK!H7)</f>
        <v>2.1. melléklet a 2 / 2020 ( II. 21. ) önkormányzati rendelethez</v>
      </c>
    </row>
    <row r="2" spans="5:6" ht="13.5" thickBot="1">
      <c r="E2" s="554" t="str">
        <f>CONCATENATE('KV_1.1.sz.mell.'!C7)</f>
        <v>Forintban!</v>
      </c>
      <c r="F2" s="760"/>
    </row>
    <row r="3" spans="1:6" ht="18" customHeight="1" thickBot="1">
      <c r="A3" s="758" t="s">
        <v>69</v>
      </c>
      <c r="B3" s="298" t="s">
        <v>56</v>
      </c>
      <c r="C3" s="299"/>
      <c r="D3" s="298" t="s">
        <v>57</v>
      </c>
      <c r="E3" s="300"/>
      <c r="F3" s="760"/>
    </row>
    <row r="4" spans="1:6" s="301" customFormat="1" ht="35.25" customHeight="1" thickBot="1">
      <c r="A4" s="759"/>
      <c r="B4" s="179" t="s">
        <v>61</v>
      </c>
      <c r="C4" s="180" t="str">
        <f>+'KV_1.1.sz.mell.'!C8</f>
        <v>2020. évi előirányzat</v>
      </c>
      <c r="D4" s="179" t="s">
        <v>61</v>
      </c>
      <c r="E4" s="51" t="str">
        <f>+C4</f>
        <v>2020. évi előirányzat</v>
      </c>
      <c r="F4" s="760"/>
    </row>
    <row r="5" spans="1:6" s="306" customFormat="1" ht="12" customHeight="1" thickBot="1">
      <c r="A5" s="302"/>
      <c r="B5" s="303" t="s">
        <v>485</v>
      </c>
      <c r="C5" s="304" t="s">
        <v>486</v>
      </c>
      <c r="D5" s="303" t="s">
        <v>487</v>
      </c>
      <c r="E5" s="305" t="s">
        <v>489</v>
      </c>
      <c r="F5" s="760"/>
    </row>
    <row r="6" spans="1:6" ht="12.75" customHeight="1">
      <c r="A6" s="307" t="s">
        <v>18</v>
      </c>
      <c r="B6" s="308" t="s">
        <v>367</v>
      </c>
      <c r="C6" s="285">
        <v>75625669</v>
      </c>
      <c r="D6" s="308" t="s">
        <v>62</v>
      </c>
      <c r="E6" s="291">
        <v>72794405</v>
      </c>
      <c r="F6" s="760"/>
    </row>
    <row r="7" spans="1:6" ht="12.75" customHeight="1">
      <c r="A7" s="309" t="s">
        <v>19</v>
      </c>
      <c r="B7" s="310" t="s">
        <v>368</v>
      </c>
      <c r="C7" s="286"/>
      <c r="D7" s="310" t="s">
        <v>179</v>
      </c>
      <c r="E7" s="292">
        <v>13755075</v>
      </c>
      <c r="F7" s="760"/>
    </row>
    <row r="8" spans="1:6" ht="12.75" customHeight="1">
      <c r="A8" s="309" t="s">
        <v>20</v>
      </c>
      <c r="B8" s="310" t="s">
        <v>388</v>
      </c>
      <c r="C8" s="286"/>
      <c r="D8" s="310" t="s">
        <v>229</v>
      </c>
      <c r="E8" s="292">
        <v>164948250</v>
      </c>
      <c r="F8" s="760"/>
    </row>
    <row r="9" spans="1:6" ht="12.75" customHeight="1">
      <c r="A9" s="309" t="s">
        <v>21</v>
      </c>
      <c r="B9" s="310" t="s">
        <v>170</v>
      </c>
      <c r="C9" s="286">
        <v>160000000</v>
      </c>
      <c r="D9" s="310" t="s">
        <v>180</v>
      </c>
      <c r="E9" s="292">
        <v>300000</v>
      </c>
      <c r="F9" s="760"/>
    </row>
    <row r="10" spans="1:6" ht="12.75" customHeight="1">
      <c r="A10" s="309" t="s">
        <v>22</v>
      </c>
      <c r="B10" s="311" t="s">
        <v>413</v>
      </c>
      <c r="C10" s="286">
        <v>145790828</v>
      </c>
      <c r="D10" s="310" t="s">
        <v>181</v>
      </c>
      <c r="E10" s="292">
        <v>78882842</v>
      </c>
      <c r="F10" s="760"/>
    </row>
    <row r="11" spans="1:6" ht="12.75" customHeight="1">
      <c r="A11" s="309" t="s">
        <v>23</v>
      </c>
      <c r="B11" s="310" t="s">
        <v>369</v>
      </c>
      <c r="C11" s="287"/>
      <c r="D11" s="310" t="s">
        <v>50</v>
      </c>
      <c r="E11" s="292">
        <v>10220234</v>
      </c>
      <c r="F11" s="760"/>
    </row>
    <row r="12" spans="1:6" ht="12.75" customHeight="1">
      <c r="A12" s="309" t="s">
        <v>24</v>
      </c>
      <c r="B12" s="310" t="s">
        <v>473</v>
      </c>
      <c r="C12" s="286"/>
      <c r="D12" s="45"/>
      <c r="E12" s="292"/>
      <c r="F12" s="760"/>
    </row>
    <row r="13" spans="1:6" ht="12.75" customHeight="1">
      <c r="A13" s="309" t="s">
        <v>25</v>
      </c>
      <c r="B13" s="45"/>
      <c r="C13" s="286"/>
      <c r="D13" s="45"/>
      <c r="E13" s="292"/>
      <c r="F13" s="760"/>
    </row>
    <row r="14" spans="1:6" ht="12.75" customHeight="1">
      <c r="A14" s="309" t="s">
        <v>26</v>
      </c>
      <c r="B14" s="406"/>
      <c r="C14" s="287"/>
      <c r="D14" s="45"/>
      <c r="E14" s="292"/>
      <c r="F14" s="760"/>
    </row>
    <row r="15" spans="1:6" ht="12.75" customHeight="1">
      <c r="A15" s="309" t="s">
        <v>27</v>
      </c>
      <c r="B15" s="45"/>
      <c r="C15" s="286"/>
      <c r="D15" s="45"/>
      <c r="E15" s="292"/>
      <c r="F15" s="760"/>
    </row>
    <row r="16" spans="1:6" ht="12.75" customHeight="1">
      <c r="A16" s="309" t="s">
        <v>28</v>
      </c>
      <c r="B16" s="45"/>
      <c r="C16" s="286"/>
      <c r="D16" s="45"/>
      <c r="E16" s="292"/>
      <c r="F16" s="760"/>
    </row>
    <row r="17" spans="1:6" ht="12.75" customHeight="1" thickBot="1">
      <c r="A17" s="309" t="s">
        <v>29</v>
      </c>
      <c r="B17" s="56"/>
      <c r="C17" s="288"/>
      <c r="D17" s="45"/>
      <c r="E17" s="293"/>
      <c r="F17" s="760"/>
    </row>
    <row r="18" spans="1:6" ht="15.75" customHeight="1" thickBot="1">
      <c r="A18" s="312" t="s">
        <v>30</v>
      </c>
      <c r="B18" s="120" t="s">
        <v>474</v>
      </c>
      <c r="C18" s="289">
        <f>C6+C7+C9+C10+C11+C13+C14+C15+C16+C17</f>
        <v>381416497</v>
      </c>
      <c r="D18" s="120" t="s">
        <v>374</v>
      </c>
      <c r="E18" s="294">
        <f>SUM(E6:E17)</f>
        <v>340900806</v>
      </c>
      <c r="F18" s="760"/>
    </row>
    <row r="19" spans="1:6" ht="12.75" customHeight="1">
      <c r="A19" s="313" t="s">
        <v>31</v>
      </c>
      <c r="B19" s="314" t="s">
        <v>371</v>
      </c>
      <c r="C19" s="464">
        <f>+C20+C21+C22+C23</f>
        <v>0</v>
      </c>
      <c r="D19" s="315" t="s">
        <v>187</v>
      </c>
      <c r="E19" s="295"/>
      <c r="F19" s="760"/>
    </row>
    <row r="20" spans="1:6" ht="12.75" customHeight="1">
      <c r="A20" s="316" t="s">
        <v>32</v>
      </c>
      <c r="B20" s="315" t="s">
        <v>223</v>
      </c>
      <c r="C20" s="76"/>
      <c r="D20" s="315" t="s">
        <v>373</v>
      </c>
      <c r="E20" s="77"/>
      <c r="F20" s="760"/>
    </row>
    <row r="21" spans="1:6" ht="12.75" customHeight="1">
      <c r="A21" s="316" t="s">
        <v>33</v>
      </c>
      <c r="B21" s="315" t="s">
        <v>224</v>
      </c>
      <c r="C21" s="76"/>
      <c r="D21" s="315" t="s">
        <v>153</v>
      </c>
      <c r="E21" s="77"/>
      <c r="F21" s="760"/>
    </row>
    <row r="22" spans="1:6" ht="12.75" customHeight="1">
      <c r="A22" s="316" t="s">
        <v>34</v>
      </c>
      <c r="B22" s="315" t="s">
        <v>228</v>
      </c>
      <c r="C22" s="76"/>
      <c r="D22" s="315" t="s">
        <v>154</v>
      </c>
      <c r="E22" s="77"/>
      <c r="F22" s="760"/>
    </row>
    <row r="23" spans="1:6" ht="12.75" customHeight="1">
      <c r="A23" s="316" t="s">
        <v>35</v>
      </c>
      <c r="B23" s="323" t="s">
        <v>234</v>
      </c>
      <c r="C23" s="76"/>
      <c r="D23" s="314" t="s">
        <v>230</v>
      </c>
      <c r="E23" s="77"/>
      <c r="F23" s="760"/>
    </row>
    <row r="24" spans="1:6" ht="12.75" customHeight="1">
      <c r="A24" s="316" t="s">
        <v>36</v>
      </c>
      <c r="B24" s="315" t="s">
        <v>372</v>
      </c>
      <c r="C24" s="317">
        <f>+C25+C26</f>
        <v>0</v>
      </c>
      <c r="D24" s="315" t="s">
        <v>188</v>
      </c>
      <c r="E24" s="77"/>
      <c r="F24" s="760"/>
    </row>
    <row r="25" spans="1:6" ht="12.75" customHeight="1">
      <c r="A25" s="313" t="s">
        <v>37</v>
      </c>
      <c r="B25" s="314" t="s">
        <v>370</v>
      </c>
      <c r="C25" s="290"/>
      <c r="D25" s="308" t="s">
        <v>456</v>
      </c>
      <c r="E25" s="295"/>
      <c r="F25" s="760"/>
    </row>
    <row r="26" spans="1:6" ht="12.75" customHeight="1">
      <c r="A26" s="316" t="s">
        <v>38</v>
      </c>
      <c r="B26" s="323" t="s">
        <v>662</v>
      </c>
      <c r="C26" s="76"/>
      <c r="D26" s="310" t="s">
        <v>462</v>
      </c>
      <c r="E26" s="77"/>
      <c r="F26" s="760"/>
    </row>
    <row r="27" spans="1:6" ht="12.75" customHeight="1">
      <c r="A27" s="309" t="s">
        <v>39</v>
      </c>
      <c r="B27" s="315" t="s">
        <v>467</v>
      </c>
      <c r="C27" s="76"/>
      <c r="D27" s="310" t="s">
        <v>463</v>
      </c>
      <c r="E27" s="77"/>
      <c r="F27" s="760"/>
    </row>
    <row r="28" spans="1:6" ht="12.75" customHeight="1" thickBot="1">
      <c r="A28" s="370" t="s">
        <v>40</v>
      </c>
      <c r="B28" s="314" t="s">
        <v>328</v>
      </c>
      <c r="C28" s="290"/>
      <c r="D28" s="408" t="s">
        <v>365</v>
      </c>
      <c r="E28" s="295">
        <v>3025027</v>
      </c>
      <c r="F28" s="760"/>
    </row>
    <row r="29" spans="1:6" ht="15.75" customHeight="1" thickBot="1">
      <c r="A29" s="312" t="s">
        <v>41</v>
      </c>
      <c r="B29" s="120" t="s">
        <v>475</v>
      </c>
      <c r="C29" s="289">
        <f>+C19+C24+C27+C28</f>
        <v>0</v>
      </c>
      <c r="D29" s="120" t="s">
        <v>477</v>
      </c>
      <c r="E29" s="294">
        <f>SUM(E19:E28)</f>
        <v>3025027</v>
      </c>
      <c r="F29" s="760"/>
    </row>
    <row r="30" spans="1:6" ht="13.5" thickBot="1">
      <c r="A30" s="312" t="s">
        <v>42</v>
      </c>
      <c r="B30" s="318" t="s">
        <v>476</v>
      </c>
      <c r="C30" s="319">
        <f>+C18+C29</f>
        <v>381416497</v>
      </c>
      <c r="D30" s="318" t="s">
        <v>478</v>
      </c>
      <c r="E30" s="319">
        <f>+E18+E29</f>
        <v>343925833</v>
      </c>
      <c r="F30" s="760"/>
    </row>
    <row r="31" spans="1:6" ht="13.5" thickBot="1">
      <c r="A31" s="312" t="s">
        <v>43</v>
      </c>
      <c r="B31" s="318" t="s">
        <v>165</v>
      </c>
      <c r="C31" s="319" t="str">
        <f>IF(C18-E18&lt;0,E18-C18,"-")</f>
        <v>-</v>
      </c>
      <c r="D31" s="318" t="s">
        <v>166</v>
      </c>
      <c r="E31" s="319">
        <f>IF(C18-E18&gt;0,C18-E18,"-")</f>
        <v>40515691</v>
      </c>
      <c r="F31" s="760"/>
    </row>
    <row r="32" spans="1:6" ht="13.5" thickBot="1">
      <c r="A32" s="312" t="s">
        <v>44</v>
      </c>
      <c r="B32" s="318" t="s">
        <v>554</v>
      </c>
      <c r="C32" s="319" t="str">
        <f>IF(C30-E30&lt;0,E30-C30,"-")</f>
        <v>-</v>
      </c>
      <c r="D32" s="318" t="s">
        <v>555</v>
      </c>
      <c r="E32" s="319">
        <f>IF(C30-E30&gt;0,C30-E30,"-")</f>
        <v>37490664</v>
      </c>
      <c r="F32" s="760"/>
    </row>
    <row r="33" spans="1:5" ht="15.75">
      <c r="A33" s="761">
        <f>IF(C32&lt;&gt;"-","Nem lehet bruttó hiány, mert az Mötv. 111. § (4) bekezédse szerint A költségvetési rendeletben működési hiány nem tervezhető.","")</f>
      </c>
      <c r="B33" s="761"/>
      <c r="C33" s="761"/>
      <c r="D33" s="761"/>
      <c r="E33" s="761"/>
    </row>
  </sheetData>
  <sheetProtection sheet="1"/>
  <mergeCells count="3">
    <mergeCell ref="A3:A4"/>
    <mergeCell ref="F1:F32"/>
    <mergeCell ref="A33:E33"/>
  </mergeCells>
  <conditionalFormatting sqref="C32">
    <cfRule type="cellIs" priority="1" dxfId="5" operator="notEqual" stopIfTrue="1">
      <formula>"-"</formula>
    </cfRule>
  </conditionalFormatting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15" workbookViewId="0" topLeftCell="A1">
      <selection activeCell="E7" sqref="E7"/>
    </sheetView>
  </sheetViews>
  <sheetFormatPr defaultColWidth="9.00390625" defaultRowHeight="12.75"/>
  <cols>
    <col min="1" max="1" width="6.875" style="54" customWidth="1"/>
    <col min="2" max="2" width="55.125" style="178" customWidth="1"/>
    <col min="3" max="3" width="16.375" style="54" customWidth="1"/>
    <col min="4" max="4" width="55.125" style="54" customWidth="1"/>
    <col min="5" max="5" width="16.375" style="54" customWidth="1"/>
    <col min="6" max="6" width="4.875" style="54" customWidth="1"/>
    <col min="7" max="16384" width="9.375" style="54" customWidth="1"/>
  </cols>
  <sheetData>
    <row r="1" spans="2:6" ht="31.5">
      <c r="B1" s="296" t="s">
        <v>156</v>
      </c>
      <c r="C1" s="297"/>
      <c r="D1" s="297"/>
      <c r="E1" s="297"/>
      <c r="F1" s="760" t="str">
        <f>CONCATENATE("2.2. melléklet ",ALAPADATOK!A7," ",ALAPADATOK!B7," ",ALAPADATOK!C7," ",ALAPADATOK!D7," ",ALAPADATOK!E7," ",ALAPADATOK!F7," ",ALAPADATOK!G7," ",ALAPADATOK!H7)</f>
        <v>2.2. melléklet a 2 / 2020 ( II. 21. ) önkormányzati rendelethez</v>
      </c>
    </row>
    <row r="2" spans="5:6" ht="13.5" thickBot="1">
      <c r="E2" s="553" t="str">
        <f>CONCATENATE('KV_1.1.sz.mell.'!C7)</f>
        <v>Forintban!</v>
      </c>
      <c r="F2" s="760"/>
    </row>
    <row r="3" spans="1:6" ht="13.5" thickBot="1">
      <c r="A3" s="762" t="s">
        <v>69</v>
      </c>
      <c r="B3" s="298" t="s">
        <v>56</v>
      </c>
      <c r="C3" s="299"/>
      <c r="D3" s="298" t="s">
        <v>57</v>
      </c>
      <c r="E3" s="300"/>
      <c r="F3" s="760"/>
    </row>
    <row r="4" spans="1:6" s="301" customFormat="1" ht="24.75" thickBot="1">
      <c r="A4" s="763"/>
      <c r="B4" s="179" t="s">
        <v>61</v>
      </c>
      <c r="C4" s="180" t="str">
        <f>+'KV_2.1.sz.mell.'!C4</f>
        <v>2020. évi előirányzat</v>
      </c>
      <c r="D4" s="179" t="s">
        <v>61</v>
      </c>
      <c r="E4" s="51" t="str">
        <f>+'KV_2.1.sz.mell.'!C4</f>
        <v>2020. évi előirányzat</v>
      </c>
      <c r="F4" s="760"/>
    </row>
    <row r="5" spans="1:6" s="301" customFormat="1" ht="13.5" thickBot="1">
      <c r="A5" s="302"/>
      <c r="B5" s="303" t="s">
        <v>485</v>
      </c>
      <c r="C5" s="304" t="s">
        <v>486</v>
      </c>
      <c r="D5" s="303" t="s">
        <v>487</v>
      </c>
      <c r="E5" s="305" t="s">
        <v>489</v>
      </c>
      <c r="F5" s="760"/>
    </row>
    <row r="6" spans="1:6" ht="12.75" customHeight="1">
      <c r="A6" s="307" t="s">
        <v>18</v>
      </c>
      <c r="B6" s="308" t="s">
        <v>375</v>
      </c>
      <c r="C6" s="285">
        <v>2607000</v>
      </c>
      <c r="D6" s="308" t="s">
        <v>225</v>
      </c>
      <c r="E6" s="291">
        <v>41148000</v>
      </c>
      <c r="F6" s="760"/>
    </row>
    <row r="7" spans="1:6" ht="12.75">
      <c r="A7" s="309" t="s">
        <v>19</v>
      </c>
      <c r="B7" s="310" t="s">
        <v>376</v>
      </c>
      <c r="C7" s="286"/>
      <c r="D7" s="310" t="s">
        <v>381</v>
      </c>
      <c r="E7" s="292"/>
      <c r="F7" s="760"/>
    </row>
    <row r="8" spans="1:6" ht="12.75" customHeight="1">
      <c r="A8" s="309" t="s">
        <v>20</v>
      </c>
      <c r="B8" s="310" t="s">
        <v>10</v>
      </c>
      <c r="C8" s="286">
        <v>147830138</v>
      </c>
      <c r="D8" s="310" t="s">
        <v>183</v>
      </c>
      <c r="E8" s="292">
        <v>424772167</v>
      </c>
      <c r="F8" s="760"/>
    </row>
    <row r="9" spans="1:6" ht="12.75" customHeight="1">
      <c r="A9" s="309" t="s">
        <v>21</v>
      </c>
      <c r="B9" s="310" t="s">
        <v>377</v>
      </c>
      <c r="C9" s="286"/>
      <c r="D9" s="310" t="s">
        <v>382</v>
      </c>
      <c r="E9" s="292">
        <v>93405128</v>
      </c>
      <c r="F9" s="760"/>
    </row>
    <row r="10" spans="1:6" ht="12.75" customHeight="1">
      <c r="A10" s="309" t="s">
        <v>22</v>
      </c>
      <c r="B10" s="310" t="s">
        <v>378</v>
      </c>
      <c r="C10" s="286"/>
      <c r="D10" s="310" t="s">
        <v>227</v>
      </c>
      <c r="E10" s="292"/>
      <c r="F10" s="760"/>
    </row>
    <row r="11" spans="1:6" ht="12.75" customHeight="1">
      <c r="A11" s="309" t="s">
        <v>23</v>
      </c>
      <c r="B11" s="310" t="s">
        <v>379</v>
      </c>
      <c r="C11" s="287">
        <v>5580000</v>
      </c>
      <c r="D11" s="409"/>
      <c r="E11" s="292"/>
      <c r="F11" s="760"/>
    </row>
    <row r="12" spans="1:6" ht="12.75" customHeight="1">
      <c r="A12" s="309" t="s">
        <v>24</v>
      </c>
      <c r="B12" s="45"/>
      <c r="C12" s="286"/>
      <c r="D12" s="409"/>
      <c r="E12" s="292"/>
      <c r="F12" s="760"/>
    </row>
    <row r="13" spans="1:6" ht="12.75" customHeight="1">
      <c r="A13" s="309" t="s">
        <v>25</v>
      </c>
      <c r="B13" s="45"/>
      <c r="C13" s="286"/>
      <c r="D13" s="410"/>
      <c r="E13" s="292"/>
      <c r="F13" s="760"/>
    </row>
    <row r="14" spans="1:6" ht="12.75" customHeight="1">
      <c r="A14" s="309" t="s">
        <v>26</v>
      </c>
      <c r="B14" s="407"/>
      <c r="C14" s="287"/>
      <c r="D14" s="409"/>
      <c r="E14" s="292"/>
      <c r="F14" s="760"/>
    </row>
    <row r="15" spans="1:6" ht="12.75">
      <c r="A15" s="309" t="s">
        <v>27</v>
      </c>
      <c r="B15" s="45"/>
      <c r="C15" s="287"/>
      <c r="D15" s="409"/>
      <c r="E15" s="292"/>
      <c r="F15" s="760"/>
    </row>
    <row r="16" spans="1:6" ht="12.75" customHeight="1" thickBot="1">
      <c r="A16" s="370" t="s">
        <v>28</v>
      </c>
      <c r="B16" s="408"/>
      <c r="C16" s="372"/>
      <c r="D16" s="371" t="s">
        <v>50</v>
      </c>
      <c r="E16" s="336"/>
      <c r="F16" s="760"/>
    </row>
    <row r="17" spans="1:6" ht="15.75" customHeight="1" thickBot="1">
      <c r="A17" s="312" t="s">
        <v>29</v>
      </c>
      <c r="B17" s="120" t="s">
        <v>389</v>
      </c>
      <c r="C17" s="289">
        <f>+C6+C8+C9+C11+C12+C13+C14+C15+C16</f>
        <v>156017138</v>
      </c>
      <c r="D17" s="120" t="s">
        <v>390</v>
      </c>
      <c r="E17" s="294">
        <f>+E6+E8+E10+E11+E12+E13+E14+E15+E16</f>
        <v>465920167</v>
      </c>
      <c r="F17" s="760"/>
    </row>
    <row r="18" spans="1:6" ht="12.75" customHeight="1">
      <c r="A18" s="307" t="s">
        <v>30</v>
      </c>
      <c r="B18" s="322" t="s">
        <v>242</v>
      </c>
      <c r="C18" s="329">
        <f>SUM(C19:C23)</f>
        <v>272412365</v>
      </c>
      <c r="D18" s="315" t="s">
        <v>187</v>
      </c>
      <c r="E18" s="74"/>
      <c r="F18" s="760"/>
    </row>
    <row r="19" spans="1:6" ht="12.75" customHeight="1">
      <c r="A19" s="309" t="s">
        <v>31</v>
      </c>
      <c r="B19" s="323" t="s">
        <v>231</v>
      </c>
      <c r="C19" s="76">
        <v>272412365</v>
      </c>
      <c r="D19" s="315" t="s">
        <v>190</v>
      </c>
      <c r="E19" s="77"/>
      <c r="F19" s="760"/>
    </row>
    <row r="20" spans="1:6" ht="12.75" customHeight="1">
      <c r="A20" s="307" t="s">
        <v>32</v>
      </c>
      <c r="B20" s="323" t="s">
        <v>232</v>
      </c>
      <c r="C20" s="76"/>
      <c r="D20" s="315" t="s">
        <v>153</v>
      </c>
      <c r="E20" s="77"/>
      <c r="F20" s="760"/>
    </row>
    <row r="21" spans="1:6" ht="12.75" customHeight="1">
      <c r="A21" s="309" t="s">
        <v>33</v>
      </c>
      <c r="B21" s="323" t="s">
        <v>233</v>
      </c>
      <c r="C21" s="76"/>
      <c r="D21" s="315" t="s">
        <v>154</v>
      </c>
      <c r="E21" s="77"/>
      <c r="F21" s="760"/>
    </row>
    <row r="22" spans="1:6" ht="12.75" customHeight="1">
      <c r="A22" s="307" t="s">
        <v>34</v>
      </c>
      <c r="B22" s="323" t="s">
        <v>234</v>
      </c>
      <c r="C22" s="76"/>
      <c r="D22" s="314" t="s">
        <v>230</v>
      </c>
      <c r="E22" s="77"/>
      <c r="F22" s="760"/>
    </row>
    <row r="23" spans="1:6" ht="12.75" customHeight="1">
      <c r="A23" s="309" t="s">
        <v>35</v>
      </c>
      <c r="B23" s="324" t="s">
        <v>235</v>
      </c>
      <c r="C23" s="76"/>
      <c r="D23" s="315" t="s">
        <v>191</v>
      </c>
      <c r="E23" s="77"/>
      <c r="F23" s="760"/>
    </row>
    <row r="24" spans="1:6" ht="12.75" customHeight="1">
      <c r="A24" s="307" t="s">
        <v>36</v>
      </c>
      <c r="B24" s="325" t="s">
        <v>236</v>
      </c>
      <c r="C24" s="317">
        <f>+C25+C26+C27+C28+C29</f>
        <v>0</v>
      </c>
      <c r="D24" s="326" t="s">
        <v>189</v>
      </c>
      <c r="E24" s="77"/>
      <c r="F24" s="760"/>
    </row>
    <row r="25" spans="1:6" ht="12.75" customHeight="1">
      <c r="A25" s="309" t="s">
        <v>37</v>
      </c>
      <c r="B25" s="324" t="s">
        <v>237</v>
      </c>
      <c r="C25" s="76"/>
      <c r="D25" s="326" t="s">
        <v>383</v>
      </c>
      <c r="E25" s="77"/>
      <c r="F25" s="760"/>
    </row>
    <row r="26" spans="1:6" ht="12.75" customHeight="1">
      <c r="A26" s="307" t="s">
        <v>38</v>
      </c>
      <c r="B26" s="324" t="s">
        <v>238</v>
      </c>
      <c r="C26" s="76"/>
      <c r="D26" s="321"/>
      <c r="E26" s="77"/>
      <c r="F26" s="760"/>
    </row>
    <row r="27" spans="1:6" ht="12.75" customHeight="1">
      <c r="A27" s="309" t="s">
        <v>39</v>
      </c>
      <c r="B27" s="323" t="s">
        <v>239</v>
      </c>
      <c r="C27" s="76"/>
      <c r="D27" s="116"/>
      <c r="E27" s="77"/>
      <c r="F27" s="760"/>
    </row>
    <row r="28" spans="1:6" ht="12.75" customHeight="1">
      <c r="A28" s="307" t="s">
        <v>40</v>
      </c>
      <c r="B28" s="327" t="s">
        <v>240</v>
      </c>
      <c r="C28" s="76"/>
      <c r="D28" s="45"/>
      <c r="E28" s="77"/>
      <c r="F28" s="760"/>
    </row>
    <row r="29" spans="1:6" ht="12.75" customHeight="1" thickBot="1">
      <c r="A29" s="309" t="s">
        <v>41</v>
      </c>
      <c r="B29" s="328" t="s">
        <v>241</v>
      </c>
      <c r="C29" s="76"/>
      <c r="D29" s="116"/>
      <c r="E29" s="77"/>
      <c r="F29" s="760"/>
    </row>
    <row r="30" spans="1:6" ht="21.75" customHeight="1" thickBot="1">
      <c r="A30" s="312" t="s">
        <v>42</v>
      </c>
      <c r="B30" s="120" t="s">
        <v>380</v>
      </c>
      <c r="C30" s="289">
        <f>+C18+C24</f>
        <v>272412365</v>
      </c>
      <c r="D30" s="120" t="s">
        <v>384</v>
      </c>
      <c r="E30" s="294">
        <f>SUM(E18:E29)</f>
        <v>0</v>
      </c>
      <c r="F30" s="760"/>
    </row>
    <row r="31" spans="1:6" ht="13.5" thickBot="1">
      <c r="A31" s="312" t="s">
        <v>43</v>
      </c>
      <c r="B31" s="318" t="s">
        <v>385</v>
      </c>
      <c r="C31" s="319">
        <f>+C17+C30</f>
        <v>428429503</v>
      </c>
      <c r="D31" s="318" t="s">
        <v>386</v>
      </c>
      <c r="E31" s="319">
        <f>+E17+E30</f>
        <v>465920167</v>
      </c>
      <c r="F31" s="760"/>
    </row>
    <row r="32" spans="1:6" ht="13.5" thickBot="1">
      <c r="A32" s="312" t="s">
        <v>44</v>
      </c>
      <c r="B32" s="318" t="s">
        <v>165</v>
      </c>
      <c r="C32" s="319">
        <f>IF(C17-E17&lt;0,E17-C17,"-")</f>
        <v>309903029</v>
      </c>
      <c r="D32" s="318" t="s">
        <v>166</v>
      </c>
      <c r="E32" s="319" t="str">
        <f>IF(C17-E17&gt;0,C17-E17,"-")</f>
        <v>-</v>
      </c>
      <c r="F32" s="760"/>
    </row>
    <row r="33" spans="1:6" ht="13.5" thickBot="1">
      <c r="A33" s="312" t="s">
        <v>45</v>
      </c>
      <c r="B33" s="318" t="s">
        <v>554</v>
      </c>
      <c r="C33" s="319">
        <f>IF(C31-E31&lt;0,E31-C31,"-")</f>
        <v>37490664</v>
      </c>
      <c r="D33" s="318" t="s">
        <v>555</v>
      </c>
      <c r="E33" s="319" t="str">
        <f>IF(C31-E31&gt;0,C31-E31,"-")</f>
        <v>-</v>
      </c>
      <c r="F33" s="760"/>
    </row>
  </sheetData>
  <sheetProtection sheet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Jegyzo</cp:lastModifiedBy>
  <cp:lastPrinted>2020-02-11T15:07:27Z</cp:lastPrinted>
  <dcterms:created xsi:type="dcterms:W3CDTF">1999-10-30T10:30:45Z</dcterms:created>
  <dcterms:modified xsi:type="dcterms:W3CDTF">2020-02-21T06:11:06Z</dcterms:modified>
  <cp:category/>
  <cp:version/>
  <cp:contentType/>
  <cp:contentStatus/>
</cp:coreProperties>
</file>