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851" firstSheet="12" activeTab="21"/>
  </bookViews>
  <sheets>
    <sheet name="5. melléklet" sheetId="1" r:id="rId1"/>
    <sheet name="5.1. Adósság" sheetId="2" r:id="rId2"/>
    <sheet name="5.1 D" sheetId="3" r:id="rId3"/>
    <sheet name="5.1 Évenként" sheetId="4" r:id="rId4"/>
    <sheet name="5.2.Városüzem" sheetId="5" r:id="rId5"/>
    <sheet name="5.3. Zöldterületi kiadások" sheetId="6" r:id="rId6"/>
    <sheet name="5.4. Beruházás" sheetId="7" r:id="rId7"/>
    <sheet name="5.5. Lakásalap" sheetId="8" r:id="rId8"/>
    <sheet name="5.6. Városrendezési tervek" sheetId="9" r:id="rId9"/>
    <sheet name="5.7. Kertség" sheetId="10" r:id="rId10"/>
    <sheet name="5.8. Egészségügyi" sheetId="11" r:id="rId11"/>
    <sheet name="5.9. Népjólét" sheetId="12" r:id="rId12"/>
    <sheet name="5.10. Sportfeladatok" sheetId="13" r:id="rId13"/>
    <sheet name="5.11. Szoc" sheetId="14" r:id="rId14"/>
    <sheet name="5.12. Közművelődés" sheetId="15" r:id="rId15"/>
    <sheet name="5.13. Támogatások" sheetId="16" r:id="rId16"/>
    <sheet name="5.14. Egyéb kiadások" sheetId="17" r:id="rId17"/>
    <sheet name="5.15. Városmarketing" sheetId="18" r:id="rId18"/>
    <sheet name="5.16. Nemzetközi pályázatok" sheetId="19" r:id="rId19"/>
    <sheet name="5.17. Vagyon" sheetId="20" r:id="rId20"/>
    <sheet name="5.18. Nemzetiség" sheetId="21" r:id="rId21"/>
    <sheet name="5.19. Céltartalék" sheetId="22" r:id="rId22"/>
  </sheets>
  <definedNames>
    <definedName name="_xlfn.AGGREGATE" hidden="1">#NAME?</definedName>
    <definedName name="Excel_BuiltIn_Print_Area" localSheetId="2">'5.1 D'!$A$1:$N$18</definedName>
    <definedName name="Excel_BuiltIn_Print_Area" localSheetId="1">'5.1. Adósság'!$A$1:$Q$21</definedName>
    <definedName name="Excel_BuiltIn_Print_Area" localSheetId="12">'5.10. Sportfeladatok'!$A$1:$L$25</definedName>
    <definedName name="Excel_BuiltIn_Print_Area" localSheetId="14">'5.12. Közművelődés'!$A$1:$M$41</definedName>
    <definedName name="Excel_BuiltIn_Print_Area" localSheetId="15">'5.13. Támogatások'!$A$2:$M$56</definedName>
    <definedName name="Excel_BuiltIn_Print_Area" localSheetId="16">'5.14. Egyéb kiadások'!$A$1:$L$39</definedName>
    <definedName name="Excel_BuiltIn_Print_Area" localSheetId="18">'5.16. Nemzetközi pályázatok'!$A$1:$L$33</definedName>
    <definedName name="Excel_BuiltIn_Print_Area" localSheetId="20">'5.18. Nemzetiség'!$A$1:$L$20</definedName>
    <definedName name="Excel_BuiltIn_Print_Area" localSheetId="4">'5.2.Városüzem'!$A$1:$L$52</definedName>
    <definedName name="Excel_BuiltIn_Print_Area" localSheetId="7">'5.5. Lakásalap'!$A$1:$L$20</definedName>
    <definedName name="Excel_BuiltIn_Print_Area" localSheetId="9">'5.7. Kertség'!$A$1:$M$41</definedName>
    <definedName name="Excel_BuiltIn_Print_Area" localSheetId="10">'5.8. Egészségügyi'!$A$1:$L$21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12">(#REF!,#REF!)</definedName>
    <definedName name="Excel_BuiltIn_Print_Titles_5_1_1" localSheetId="13">(#REF!,#REF!)</definedName>
    <definedName name="Excel_BuiltIn_Print_Titles_5_1_1" localSheetId="14">(#REF!,#REF!)</definedName>
    <definedName name="Excel_BuiltIn_Print_Titles_5_1_1" localSheetId="15">(#REF!,#REF!)</definedName>
    <definedName name="Excel_BuiltIn_Print_Titles_5_1_1" localSheetId="16">(#REF!,#REF!)</definedName>
    <definedName name="Excel_BuiltIn_Print_Titles_5_1_1" localSheetId="17">(#REF!,#REF!)</definedName>
    <definedName name="Excel_BuiltIn_Print_Titles_5_1_1" localSheetId="18">(#REF!,#REF!)</definedName>
    <definedName name="Excel_BuiltIn_Print_Titles_5_1_1" localSheetId="19">(#REF!,#REF!)</definedName>
    <definedName name="Excel_BuiltIn_Print_Titles_5_1_1" localSheetId="20">(#REF!,#REF!)</definedName>
    <definedName name="Excel_BuiltIn_Print_Titles_5_1_1" localSheetId="21">(#REF!,#REF!)</definedName>
    <definedName name="Excel_BuiltIn_Print_Titles_5_1_1" localSheetId="4">(#REF!,#REF!)</definedName>
    <definedName name="Excel_BuiltIn_Print_Titles_5_1_1" localSheetId="6">(#REF!,#REF!)</definedName>
    <definedName name="Excel_BuiltIn_Print_Titles_5_1_1" localSheetId="7">(#REF!,#REF!)</definedName>
    <definedName name="Excel_BuiltIn_Print_Titles_5_1_1" localSheetId="9">(#REF!,#REF!)</definedName>
    <definedName name="Excel_BuiltIn_Print_Titles_5_1_1" localSheetId="10">(#REF!,#REF!)</definedName>
    <definedName name="Excel_BuiltIn_Print_Titles_5_1_1" localSheetId="11">(#REF!,#REF!)</definedName>
    <definedName name="_xlnm.Print_Titles" localSheetId="0">'5. melléklet'!$5:$9</definedName>
    <definedName name="_xlnm.Print_Titles" localSheetId="6">'5.4. Beruházás'!$7:$9</definedName>
    <definedName name="_xlnm.Print_Area" localSheetId="0">'5. melléklet'!$A$1:$U$121</definedName>
    <definedName name="_xlnm.Print_Area" localSheetId="2">'5.1 D'!$A$1:$R$18</definedName>
    <definedName name="_xlnm.Print_Area" localSheetId="3">'5.1 Évenként'!$A$1:$AN$17</definedName>
    <definedName name="_xlnm.Print_Area" localSheetId="1">'5.1. Adósság'!$A$1:$Y$22</definedName>
    <definedName name="_xlnm.Print_Area" localSheetId="12">'5.10. Sportfeladatok'!$A$1:$V$25</definedName>
    <definedName name="_xlnm.Print_Area" localSheetId="13">'5.11. Szoc'!$A$1:$W$28</definedName>
    <definedName name="_xlnm.Print_Area" localSheetId="14">'5.12. Közművelődés'!$A$1:$W$41</definedName>
    <definedName name="_xlnm.Print_Area" localSheetId="15">'5.13. Támogatások'!$A$1:$W$55</definedName>
    <definedName name="_xlnm.Print_Area" localSheetId="17">'5.15. Városmarketing'!$A$1:$V$24</definedName>
    <definedName name="_xlnm.Print_Area" localSheetId="18">'5.16. Nemzetközi pályázatok'!$A$1:$V$33</definedName>
    <definedName name="_xlnm.Print_Area" localSheetId="19">'5.17. Vagyon'!$A$1:$V$32</definedName>
    <definedName name="_xlnm.Print_Area" localSheetId="20">'5.18. Nemzetiség'!$A$1:$V$20</definedName>
    <definedName name="_xlnm.Print_Area" localSheetId="21">'5.19. Céltartalék'!$A$1:$V$24</definedName>
    <definedName name="_xlnm.Print_Area" localSheetId="5">'5.3. Zöldterületi kiadások'!$A$1:$V$58</definedName>
    <definedName name="_xlnm.Print_Area" localSheetId="6">'5.4. Beruházás'!$A$1:$W$166</definedName>
    <definedName name="_xlnm.Print_Area" localSheetId="7">'5.5. Lakásalap'!$A$1:$V$20</definedName>
    <definedName name="_xlnm.Print_Area" localSheetId="8">'5.6. Városrendezési tervek'!$A$1:$V$21</definedName>
    <definedName name="_xlnm.Print_Area" localSheetId="9">'5.7. Kertség'!$A$1:$W$41</definedName>
    <definedName name="_xlnm.Print_Area" localSheetId="10">'5.8. Egészségügyi'!$A$1:$V$21</definedName>
    <definedName name="_xlnm.Print_Area" localSheetId="11">'5.9. Népjólét'!$A$1:$V$19</definedName>
  </definedNames>
  <calcPr fullCalcOnLoad="1"/>
</workbook>
</file>

<file path=xl/sharedStrings.xml><?xml version="1.0" encoding="utf-8"?>
<sst xmlns="http://schemas.openxmlformats.org/spreadsheetml/2006/main" count="2895" uniqueCount="1572">
  <si>
    <r>
      <t xml:space="preserve">Az Önkormányzat központi kezelésű feladatai
</t>
    </r>
    <r>
      <rPr>
        <sz val="16"/>
        <rFont val="Arial"/>
        <family val="2"/>
      </rPr>
      <t>(költségvetési szervekhez nem rendelt költségvetési kiadások)</t>
    </r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</si>
  <si>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</si>
  <si>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</si>
  <si>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</si>
  <si>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</si>
  <si>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</si>
  <si>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</si>
  <si>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</si>
  <si>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</si>
  <si>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</si>
  <si>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</si>
  <si>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</si>
  <si>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</si>
  <si>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</si>
  <si>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</si>
  <si>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</si>
  <si>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</si>
  <si>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</si>
  <si>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</si>
  <si>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</si>
  <si>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</si>
  <si>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</si>
  <si>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</si>
  <si>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Cím</t>
  </si>
  <si>
    <t>Feladatcsoport</t>
  </si>
  <si>
    <t>Előirányzat megnevezése</t>
  </si>
  <si>
    <t>Eredeti előirányzat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</si>
  <si>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</si>
  <si>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</si>
  <si>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</si>
  <si>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</si>
  <si>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</si>
  <si>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</si>
  <si>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</si>
  <si>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</si>
  <si>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</si>
  <si>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</si>
  <si>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1.</t>
  </si>
  <si>
    <t>Adósságszolgálat összesen</t>
  </si>
  <si>
    <t>1.1</t>
  </si>
  <si>
    <t>Kötelező feladat</t>
  </si>
  <si>
    <t>1.2</t>
  </si>
  <si>
    <t>Önként vállalt feladat</t>
  </si>
  <si>
    <t>1.3</t>
  </si>
  <si>
    <t>Állami (államigazgatási) feladat</t>
  </si>
  <si>
    <t>2.</t>
  </si>
  <si>
    <t xml:space="preserve">Képviselő-testület működésével, tagjainak díjazásával, valamint a polgármester és az alpolgármesterek tiszteletdíjával és költségtérítéseivel kapcsolatos kiadások összesen </t>
  </si>
  <si>
    <t>2.1</t>
  </si>
  <si>
    <t>2.2</t>
  </si>
  <si>
    <t>2.3</t>
  </si>
  <si>
    <t>3.</t>
  </si>
  <si>
    <t>Városüzemeltetési kiadások összesen</t>
  </si>
  <si>
    <t>3.1</t>
  </si>
  <si>
    <t>3.2</t>
  </si>
  <si>
    <t>3.3</t>
  </si>
  <si>
    <t>4.</t>
  </si>
  <si>
    <t>Zöldterületi kiadások összesen</t>
  </si>
  <si>
    <t>4.1</t>
  </si>
  <si>
    <t>4.2</t>
  </si>
  <si>
    <t>4.3</t>
  </si>
  <si>
    <t>5.</t>
  </si>
  <si>
    <t>Beruházási kiadások összesen</t>
  </si>
  <si>
    <t>5.1</t>
  </si>
  <si>
    <t>5.2</t>
  </si>
  <si>
    <t>5.3</t>
  </si>
  <si>
    <t>6.</t>
  </si>
  <si>
    <t>Önkormányzati tulajdonú lakóingatlanokkal kapcsolatos kiadások összesen</t>
  </si>
  <si>
    <t>6.1</t>
  </si>
  <si>
    <t>6.2</t>
  </si>
  <si>
    <t>6.3</t>
  </si>
  <si>
    <t>7.</t>
  </si>
  <si>
    <t>Városrendezési tervek kiadásai összesen</t>
  </si>
  <si>
    <t>7.1</t>
  </si>
  <si>
    <t>7.2</t>
  </si>
  <si>
    <t>7.3</t>
  </si>
  <si>
    <t>8.</t>
  </si>
  <si>
    <t>Kertségi fejlesztési program összesen</t>
  </si>
  <si>
    <t>8.1</t>
  </si>
  <si>
    <t>8.2</t>
  </si>
  <si>
    <t>8.3</t>
  </si>
  <si>
    <t>9.</t>
  </si>
  <si>
    <t>Köznevelési feladatok  összesen</t>
  </si>
  <si>
    <t>9.1</t>
  </si>
  <si>
    <t>9.2</t>
  </si>
  <si>
    <t>9.3</t>
  </si>
  <si>
    <t>10.</t>
  </si>
  <si>
    <t>Egészségügyi feladatok összesen</t>
  </si>
  <si>
    <t>10.1</t>
  </si>
  <si>
    <t>10.2</t>
  </si>
  <si>
    <t>10.3</t>
  </si>
  <si>
    <t>11.</t>
  </si>
  <si>
    <t>Népjóléti feladatok összesen</t>
  </si>
  <si>
    <t>11.1</t>
  </si>
  <si>
    <t>11.2</t>
  </si>
  <si>
    <t>11.3</t>
  </si>
  <si>
    <t>12.</t>
  </si>
  <si>
    <t>Sportfeladatok és kiemelt sportrendezvények összesen</t>
  </si>
  <si>
    <t>12.1</t>
  </si>
  <si>
    <t>12.2</t>
  </si>
  <si>
    <t>12.3</t>
  </si>
  <si>
    <t>13.</t>
  </si>
  <si>
    <t>Önkormányzat által folyósított ellátások összesen</t>
  </si>
  <si>
    <t>13.1</t>
  </si>
  <si>
    <t>13.2</t>
  </si>
  <si>
    <t>13.3</t>
  </si>
  <si>
    <t>14.</t>
  </si>
  <si>
    <t>Közfoglalkoztatás összesen</t>
  </si>
  <si>
    <t>14.1</t>
  </si>
  <si>
    <t>14.2</t>
  </si>
  <si>
    <t>14.3</t>
  </si>
  <si>
    <t>15.</t>
  </si>
  <si>
    <t>Közművelődési feladatok összesen</t>
  </si>
  <si>
    <t>15.1</t>
  </si>
  <si>
    <t>15.2</t>
  </si>
  <si>
    <t>15.3</t>
  </si>
  <si>
    <t>16.</t>
  </si>
  <si>
    <t>Támogatások összesen</t>
  </si>
  <si>
    <t>16.1</t>
  </si>
  <si>
    <t>16.2</t>
  </si>
  <si>
    <t>16.3</t>
  </si>
  <si>
    <t>17.</t>
  </si>
  <si>
    <t>Környezetvédelmi Alap összesen</t>
  </si>
  <si>
    <t>17.1</t>
  </si>
  <si>
    <t>17.2</t>
  </si>
  <si>
    <t>17.3</t>
  </si>
  <si>
    <t>18.</t>
  </si>
  <si>
    <t>Civil, Kulturális és Ifjúsági "Alap" összesen</t>
  </si>
  <si>
    <t>18.1</t>
  </si>
  <si>
    <t>18.2</t>
  </si>
  <si>
    <t>18.3</t>
  </si>
  <si>
    <t>19.</t>
  </si>
  <si>
    <t>Turisztikai "Alap" összesen</t>
  </si>
  <si>
    <t>19.1</t>
  </si>
  <si>
    <t>19.2</t>
  </si>
  <si>
    <t>19.3</t>
  </si>
  <si>
    <t>20.</t>
  </si>
  <si>
    <t>Gazdaságfejlesztési "Alap" összesen</t>
  </si>
  <si>
    <t>20.1</t>
  </si>
  <si>
    <t>20.2</t>
  </si>
  <si>
    <t>20.3</t>
  </si>
  <si>
    <t>21.</t>
  </si>
  <si>
    <t>Egyéb kiadások összesen</t>
  </si>
  <si>
    <t>21.1</t>
  </si>
  <si>
    <t>21.2</t>
  </si>
  <si>
    <t>21.3</t>
  </si>
  <si>
    <t>22.</t>
  </si>
  <si>
    <t>Városmarketing feladatok összesen</t>
  </si>
  <si>
    <t>22.1</t>
  </si>
  <si>
    <t>22.2</t>
  </si>
  <si>
    <t>22.3</t>
  </si>
  <si>
    <t>23.</t>
  </si>
  <si>
    <t>Nemzetközi és hazai támogatású pályázatok összesen</t>
  </si>
  <si>
    <t>23.1</t>
  </si>
  <si>
    <t>23.2</t>
  </si>
  <si>
    <t>23.3</t>
  </si>
  <si>
    <t>24.</t>
  </si>
  <si>
    <t>Vagyongazdálkodási feladatok összesen</t>
  </si>
  <si>
    <t>24.1</t>
  </si>
  <si>
    <t>24.2</t>
  </si>
  <si>
    <t>24.3</t>
  </si>
  <si>
    <t>25.</t>
  </si>
  <si>
    <t>Nemzetiségi Önkormányzatok működési támogatásai összesen</t>
  </si>
  <si>
    <t>25.1</t>
  </si>
  <si>
    <t>25.2</t>
  </si>
  <si>
    <t>25.3</t>
  </si>
  <si>
    <t>26.</t>
  </si>
  <si>
    <t>Általános tartalék összesen</t>
  </si>
  <si>
    <t>26.1</t>
  </si>
  <si>
    <t>26.2</t>
  </si>
  <si>
    <t>26.3</t>
  </si>
  <si>
    <t>27.</t>
  </si>
  <si>
    <t>Céltartalék összesen</t>
  </si>
  <si>
    <t>27.1</t>
  </si>
  <si>
    <t>27.2</t>
  </si>
  <si>
    <t>27.3</t>
  </si>
  <si>
    <t>MINDÖSSZESEN</t>
  </si>
  <si>
    <t>Kötelező feladat összesen</t>
  </si>
  <si>
    <t>Önként vállalt feladat összesen</t>
  </si>
  <si>
    <t>Állami (államigazgatási) feladat összesen</t>
  </si>
  <si>
    <t>Adósságszolgálat</t>
  </si>
  <si>
    <t>(5. melléklet 1. cím részletezése)</t>
  </si>
  <si>
    <t>V</t>
  </si>
  <si>
    <t>W</t>
  </si>
  <si>
    <t>X</t>
  </si>
  <si>
    <t>Y</t>
  </si>
  <si>
    <t>Alcím</t>
  </si>
  <si>
    <t>Jogím</t>
  </si>
  <si>
    <t>Hitelező, kibocsátó neve</t>
  </si>
  <si>
    <t xml:space="preserve">Hitelszerződés megkötésének időpontja </t>
  </si>
  <si>
    <t>Lejárat</t>
  </si>
  <si>
    <t xml:space="preserve">Devizanem </t>
  </si>
  <si>
    <t>Eredeti összege</t>
  </si>
  <si>
    <t>Felvételkori árfolyam</t>
  </si>
  <si>
    <t xml:space="preserve">Kamatfizetés </t>
  </si>
  <si>
    <t xml:space="preserve">Egyéb költségek </t>
  </si>
  <si>
    <t xml:space="preserve">Összesen (tőketörlesztés+
kamatfizetés+
egyéb költség)   </t>
  </si>
  <si>
    <t>I. n.év</t>
  </si>
  <si>
    <t>II. n. év</t>
  </si>
  <si>
    <t>III.n. év</t>
  </si>
  <si>
    <t xml:space="preserve">IV.n.év </t>
  </si>
  <si>
    <t>I-IV.n.év összesen</t>
  </si>
  <si>
    <t>Hosszú lejáratú hitelek</t>
  </si>
  <si>
    <t>HUF</t>
  </si>
  <si>
    <t>1-2-16-3800-0278-8</t>
  </si>
  <si>
    <t>OTP Bank Nyrt.</t>
  </si>
  <si>
    <t>Rövid lejáratú hitelek</t>
  </si>
  <si>
    <t>1.2.1</t>
  </si>
  <si>
    <t>Folyószámla hitel</t>
  </si>
  <si>
    <t>1.2.2</t>
  </si>
  <si>
    <t>Munkabér hitel</t>
  </si>
  <si>
    <t>Mindösszesen:</t>
  </si>
  <si>
    <t>Dologi kiemelt előirányzat részletezése</t>
  </si>
  <si>
    <t xml:space="preserve">Eredeti összege </t>
  </si>
  <si>
    <t>Tőketörlesztés</t>
  </si>
  <si>
    <t>Kamatfizetés</t>
  </si>
  <si>
    <t>Egyéb költségek</t>
  </si>
  <si>
    <t>1.1.</t>
  </si>
  <si>
    <t>1.2.</t>
  </si>
  <si>
    <t>1.2.1.</t>
  </si>
  <si>
    <t>1.2.2.</t>
  </si>
  <si>
    <t>Tájékoztató táblázat az adósságszolgálat kimutatásáról a teljes futamidőre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</si>
  <si>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</si>
  <si>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</si>
  <si>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</si>
  <si>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</si>
  <si>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</si>
  <si>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</si>
  <si>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</si>
  <si>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</si>
  <si>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</si>
  <si>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</si>
  <si>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</si>
  <si>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</si>
  <si>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</si>
  <si>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</si>
  <si>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</si>
  <si>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tőke</t>
  </si>
  <si>
    <t>kamat</t>
  </si>
  <si>
    <t>összesen</t>
  </si>
  <si>
    <t>1.1. Hosszú lejáratú hitelek</t>
  </si>
  <si>
    <t>OTP Bank Nyrt. (1 mrd Ft hitel)</t>
  </si>
  <si>
    <t>2016.</t>
  </si>
  <si>
    <t>2017.</t>
  </si>
  <si>
    <t>1.2. Rövid lejáratú hitelek</t>
  </si>
  <si>
    <t>Összesen:</t>
  </si>
  <si>
    <t>Városüzemeltetési kiadások</t>
  </si>
  <si>
    <t>(5. melléklet 3.cím részletezése)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</si>
  <si>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</si>
  <si>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</si>
  <si>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</si>
  <si>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</si>
  <si>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</si>
  <si>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végzett munkák</t>
  </si>
  <si>
    <t>3.1.4</t>
  </si>
  <si>
    <t>Tócó élővízfolyás karbantartása</t>
  </si>
  <si>
    <t>3.1.5</t>
  </si>
  <si>
    <t>Csapadékvíz átemelők üzemeltetése</t>
  </si>
  <si>
    <t>3.1.6</t>
  </si>
  <si>
    <t>Belvízvédekezés</t>
  </si>
  <si>
    <t>3.1.7</t>
  </si>
  <si>
    <t>Közterületi beruházásokhoz kapcsolódó előre nem tervezhető kiadások (fedlapok, víznyelőrácsok cseréje)</t>
  </si>
  <si>
    <t>3.1.8</t>
  </si>
  <si>
    <t>3.1.9</t>
  </si>
  <si>
    <t>Közvilágítás üzemeltetése</t>
  </si>
  <si>
    <t>3.1.10</t>
  </si>
  <si>
    <t>Mért rendszerek üzemeltetése</t>
  </si>
  <si>
    <t>3.1.11</t>
  </si>
  <si>
    <t>Közvilágítási lámpatestek beárnyékolásának megszüntetése</t>
  </si>
  <si>
    <t>3.1.12</t>
  </si>
  <si>
    <t>Szökőkutak, csobogók, ivókutak üzemeltetése, felújítása</t>
  </si>
  <si>
    <t>3.1.13</t>
  </si>
  <si>
    <t>Kamerarendszerek üzemeltetése, átépítése, javítása</t>
  </si>
  <si>
    <t>3.1.14</t>
  </si>
  <si>
    <t>Nyilvános WC-k üzemeltetése, felújítása</t>
  </si>
  <si>
    <t>3.1.15</t>
  </si>
  <si>
    <t>Hóeltakarítás (I. és IV. negyedév)</t>
  </si>
  <si>
    <t>3.1.16</t>
  </si>
  <si>
    <t>Útburkolat karbantartás, javítás</t>
  </si>
  <si>
    <t>3.1.17</t>
  </si>
  <si>
    <t>Járdaburkolat javítása</t>
  </si>
  <si>
    <t>3.1.18</t>
  </si>
  <si>
    <t>Jelzőtáblák pótlása, kihelyezése</t>
  </si>
  <si>
    <t>3.1.19</t>
  </si>
  <si>
    <t>Útburkolati jelek felfestése</t>
  </si>
  <si>
    <t>3.1.20</t>
  </si>
  <si>
    <t>3.1.21</t>
  </si>
  <si>
    <t>Közös üzemeltetési díj (MK Np. Zrt.-önkormányzati csomópont)</t>
  </si>
  <si>
    <t>3.1.22</t>
  </si>
  <si>
    <t>Parkolási közszolgáltatás ellátásáért fizetendő költségtérítés</t>
  </si>
  <si>
    <t>3.2.1</t>
  </si>
  <si>
    <t xml:space="preserve">Intézményi lámpatestek bérleti díja </t>
  </si>
  <si>
    <t>3.2.2</t>
  </si>
  <si>
    <t>Egyéb kommunális szolgáltatás</t>
  </si>
  <si>
    <t>3.2.3</t>
  </si>
  <si>
    <t>Kártérítések, megbízások, ügyvédi díjak</t>
  </si>
  <si>
    <t>3.2.4</t>
  </si>
  <si>
    <t>Közterületen okozott károk helyreállítása</t>
  </si>
  <si>
    <t>3.2.5</t>
  </si>
  <si>
    <t>Fedett utasvárók javítása</t>
  </si>
  <si>
    <t>3.2.6</t>
  </si>
  <si>
    <t>Lakott külterületek közlekedési költségei</t>
  </si>
  <si>
    <t>3.2.7</t>
  </si>
  <si>
    <t>Buszöblök és peronok javítása</t>
  </si>
  <si>
    <t>3.2.8</t>
  </si>
  <si>
    <t>Tervezési feladatok</t>
  </si>
  <si>
    <t>3.2.9</t>
  </si>
  <si>
    <t>Előre nem tervezhető közlekedési feladatok</t>
  </si>
  <si>
    <t>3.2.10</t>
  </si>
  <si>
    <t>Új kijelölt gyalogátkelőhelyek kialakítása</t>
  </si>
  <si>
    <t>3.2.11</t>
  </si>
  <si>
    <t>Meglevő kijelölt gyalogosátkelőhelyek megvilágításának felülvizsgálata</t>
  </si>
  <si>
    <t>3.2.12</t>
  </si>
  <si>
    <t>Kerékpár tárolók kihelyezése</t>
  </si>
  <si>
    <t>3.2.13</t>
  </si>
  <si>
    <t>Parkolójavítás</t>
  </si>
  <si>
    <t>Összesen</t>
  </si>
  <si>
    <t>Zöldterületi kiadások</t>
  </si>
  <si>
    <t>(5. melléklet 4.cím részletezése)</t>
  </si>
  <si>
    <t>4.1.1</t>
  </si>
  <si>
    <t>Közhasznú zöldterületek fenntartása</t>
  </si>
  <si>
    <t>4.1.2</t>
  </si>
  <si>
    <t>Automata öntözőrendszerek üzemeltetése</t>
  </si>
  <si>
    <t>4.1.3</t>
  </si>
  <si>
    <t>Nagyerdei Parkerdő vagyonvédelmi feladata</t>
  </si>
  <si>
    <t>4.1.4</t>
  </si>
  <si>
    <t>Növényvédelem</t>
  </si>
  <si>
    <t>4.1.5</t>
  </si>
  <si>
    <t>Játszóterek karbantartása, játszótér üzemeltetés</t>
  </si>
  <si>
    <t>4.1.6</t>
  </si>
  <si>
    <t>Temetők és emlékművek fenntartása</t>
  </si>
  <si>
    <t>4.1.8</t>
  </si>
  <si>
    <t>Patkánymentesítés</t>
  </si>
  <si>
    <t>4.1.9</t>
  </si>
  <si>
    <t>Közkutak üzemeltetése, közüzemi díjak</t>
  </si>
  <si>
    <t>4.1.10</t>
  </si>
  <si>
    <t>Erdőterületek fenntartása, gallyazás, növénytelepítés</t>
  </si>
  <si>
    <t>4.2.1</t>
  </si>
  <si>
    <t>Szúnyogirtás</t>
  </si>
  <si>
    <t>4.2.2</t>
  </si>
  <si>
    <t>4.2.3</t>
  </si>
  <si>
    <t>Tiszta Virágos Debrecenért</t>
  </si>
  <si>
    <t>4.2.4</t>
  </si>
  <si>
    <t>Fasorrekonstrukció</t>
  </si>
  <si>
    <t>4.2.5</t>
  </si>
  <si>
    <t>4.2.6</t>
  </si>
  <si>
    <t>Parktáblázás program</t>
  </si>
  <si>
    <t>4.2.7</t>
  </si>
  <si>
    <t>4.2.8</t>
  </si>
  <si>
    <t>LIFE IP HUNGAirY</t>
  </si>
  <si>
    <t>4.2.9</t>
  </si>
  <si>
    <t>4.2.10</t>
  </si>
  <si>
    <t>4.3.1</t>
  </si>
  <si>
    <t>Beruházási kiadások</t>
  </si>
  <si>
    <t>(5. melléklet 5. cím részletezése)</t>
  </si>
  <si>
    <t>Jogcím</t>
  </si>
  <si>
    <t>TOP-6.1.1-15 Ipari parkok, iparterületek fejlesztése</t>
  </si>
  <si>
    <t xml:space="preserve">TOP-6.1.1-15-DE1-2016-00001 Debrecen déli gazdasági övezet infrastruktúrájának fejlesztése </t>
  </si>
  <si>
    <t>TOP-6.1.3-15 Helyi gazdaságfejlesztés</t>
  </si>
  <si>
    <t>TOP-6.1.3-15-DE1-2016-00001 Szabadtéri piac létesítése a Tócóskertben</t>
  </si>
  <si>
    <t>TOP-6.1.5-15 Gazdaságfejlesztést és a munkaerő mobilitás ösztönzését szolgáló közlekedésfejlesztés</t>
  </si>
  <si>
    <t xml:space="preserve">TOP-6.1.5-15-DE1-2016-00001 Az egykori Magyar Gördülőcsapágy Művek helyén lévő gazdasági terület jobb megközelíthetőségének biztosítása </t>
  </si>
  <si>
    <t xml:space="preserve"> TOP-6.2.1-15-DE1-2016-00001 A Nagyerdei Óvoda felújítása</t>
  </si>
  <si>
    <t>TOP-6.2.1-15-DE1-2016-00002 A Boldogfalva Óvoda Manninger Gusztáv Utcai Telephelyének felújítása</t>
  </si>
  <si>
    <r>
      <t xml:space="preserve">TOP-6.2.1-15-DE1-2016-00004 A Liget Óvoda </t>
    </r>
    <r>
      <rPr>
        <b/>
        <sz val="18"/>
        <rFont val="Calibri"/>
        <family val="2"/>
      </rPr>
      <t xml:space="preserve">Bartók Béla úti </t>
    </r>
    <r>
      <rPr>
        <sz val="18"/>
        <rFont val="Calibri"/>
        <family val="2"/>
      </rPr>
      <t>székhelyének felújítás</t>
    </r>
  </si>
  <si>
    <r>
      <t xml:space="preserve">TOP-6.2.1-15-DE1-2016-00006 A Liget Óvoda </t>
    </r>
    <r>
      <rPr>
        <b/>
        <sz val="18"/>
        <rFont val="Calibri"/>
        <family val="2"/>
      </rPr>
      <t xml:space="preserve">Babits Mihály Utcai </t>
    </r>
    <r>
      <rPr>
        <sz val="18"/>
        <rFont val="Calibri"/>
        <family val="2"/>
      </rPr>
      <t>Telephelyének felújítása</t>
    </r>
  </si>
  <si>
    <t>TOP-6.2.1-15-DE1-2016-00007 Eszközök beszerzése a Debrecen Megyei Jogú Város Egyesített Bölcsődei Intézménye Faraktár Utcai Tagintézmény és Görgey Utcai Tagintézmény számára</t>
  </si>
  <si>
    <t>TOP-6.2.1-15-DE1-2016-00008  Az Alsójózsai Kerekerdő Óvoda felújítása</t>
  </si>
  <si>
    <t>TOP-6.2.1-15-DE1-2016-00010 Debrecen Megyei Jogú Város Egyesített Bölcsődei Intézmény Ősz Utcai Tagintézmény és a Mosolykert Óvoda felújítása</t>
  </si>
  <si>
    <t>TOP-6.2.1-15-DE1-2016-00011 Debrecen Megyei Jogú Város Egyesített Bölcsődei Intézménye Gáborjáni Szabó Kálmán Utcai Tagintézmény felújítása</t>
  </si>
  <si>
    <t>TOP-6.2.1-15-DE1-2016-00012 Debrecen Megyei Jogú Város Egyesített Bölcsődei Intézménye Karácsony György Utcai Tagintézmény felújítása</t>
  </si>
  <si>
    <t>TOP-6.3.2-15 Zöld város kialakítása</t>
  </si>
  <si>
    <t>TOP-6.3.2.-15-DE1-2016-00001 A Vénkert gazdaságélénkítő környezeti megújítása"</t>
  </si>
  <si>
    <t>TOP-6.3.2.-15-DE1-2016-00002. Debrecen Belvárosának innovatív rekonstrukciója"</t>
  </si>
  <si>
    <t>TOP-6.3.2.-15-DE1-2016-00003 A Dobozi lakótelep gazdaságélénkítő környezeti megújítása"</t>
  </si>
  <si>
    <t>TOP-6.3.2.-15-DE1-2016-00004 A Libakert gazdaságélénkítő környezeti megújítása"</t>
  </si>
  <si>
    <t>TOP-6.3.2.-15-DE1-2016-00005 A Sestakert gazdaságélénkítő környezeti megújítása"</t>
  </si>
  <si>
    <t>TOP-6.3.2.-15-DE1-2016-00006. "Az Újkert gazdaságélénkítő környezeti megújítása"</t>
  </si>
  <si>
    <t>TOP-6.4.1-15 Fenntartható városi közlekedésfejlesztés</t>
  </si>
  <si>
    <t>TOP-6.4.1-15-DE1-2016-00002 A belváros forgalomtechnikájának javítása és kerékpárosbaráttá tétele</t>
  </si>
  <si>
    <t>TOP-6.4.1-15-DE1-2016-00003 Nyugati városrész forgalomszervezése és kerékpárút kialakítása</t>
  </si>
  <si>
    <t>TOP-6.4.1-15-DE1-2016-00004  Északi városrész forgalomszervezése és kerékpárút kialakítása</t>
  </si>
  <si>
    <t>TOP-6.5.1-15 Önkormányzati épületek energetikai korszerűsítése</t>
  </si>
  <si>
    <t>TOP-6.5.1-15-DE1-2016-00004 A Zenede energetikai korszerűsítése</t>
  </si>
  <si>
    <t>TOP-6.5.1-15-DE1-2016-00005 A Lehel Utcai Óvoda épületének energetikai korszerűsítése</t>
  </si>
  <si>
    <t>TOP-6.5.1-15-DE1-2016-00006 A Közép Utcai Óvoda épületének energetikai korszerűsítése</t>
  </si>
  <si>
    <t>TOP-6.5.1-15-DE1-2016-00007 A Lilla Téri Általános Iskola épületének energetikai korszerűsítése</t>
  </si>
  <si>
    <t>TOP-6.5.1-15-DE1-2016-00009 A Gulyás Pál Kollégium épületének energetikai korszerűsítése</t>
  </si>
  <si>
    <t>TOP-6.5.1-15-DE1-2016-00011 A József Attila-telepi Könyvtár épületének energetikai korszerűsítése</t>
  </si>
  <si>
    <t>TOP-6.5.1-15-DE1-2016-00013 Az egykori megyei könyvtár épületének energetikai korszerűsítése</t>
  </si>
  <si>
    <t>TOP-6.5.1-15-DE1-2016-00014 A Boldogfalva Óvoda épületének energetikai korszerűsítése</t>
  </si>
  <si>
    <t>TOP-6.5.1-15-DE1-2016-00015 A Fazekas Mihály Gimnázium Tóth Árpád utcai épületének energetikai korszerűsítése</t>
  </si>
  <si>
    <t>TOP-6.5.1-15-DE1-2016-00017 Az Ondódi Közösségi Ház épületének energetikai korszerűsítése</t>
  </si>
  <si>
    <t>TOP-6.5.1-15-DE1-2016-00019 A Szivárvány Óvoda épületének energetikai korszerűsítése</t>
  </si>
  <si>
    <t>TOP-6.6.1-15-DE1-2016-00001 Debrecen, Füredi út 42. sz. alatti háziorvosi és fogorvosi alapellátás infrastrukturális fejlesztése</t>
  </si>
  <si>
    <t>TOP-6.6.1-15-DE1-2016-00002 Debrecen, Jánosi utca 14. sz. alatti háziorvosi alapellátás infrastrukturális fejlesztése</t>
  </si>
  <si>
    <t>TOP-6.6.1-15-DE1-2016-00003 Debrecen, Böszörményi út 136. sz. alatti házi gyermekorvosi és védőnői ellátás infrastrukturális fejlesztése</t>
  </si>
  <si>
    <t>TOP-6.6.1-15-DE1-2016-00004 Debrecen, Szentgyörgyfalvi utca 7. sz. alatti házi gyermekorvosi és fogorvosi alapellátás infrastrukturális fejlesztése</t>
  </si>
  <si>
    <t>TOP-6.6.1-15-DE1-2016-00005 Debrecen, Híd utca 14. sz. alatti házi gyermekorvosi és védőnői alapellátás infrastrukturális fejlesztése</t>
  </si>
  <si>
    <t>TOP-6.6.1-15-DE1-2016-00006 Debrecen, Szabó Pál utca 61-63. sz. alatti egészségügyi alapellátás infrastrukturális fejlesztése</t>
  </si>
  <si>
    <t>TOP-6.6.1-15-DE1-2016-00007 Debrecen, Víztorony utca 11. sz. alatti gyermekorvosi rendelő és védőnői szolgálat infrastrukturális fejlesztése</t>
  </si>
  <si>
    <t>TOP-6.6.1-15-DE1-2016-00008 Debrecen, Apafi utca 30. sz. alatti háziorvosi rendelő infrastrukturális fejlesztése</t>
  </si>
  <si>
    <t>TOP-6.6.1-15-DE1-2016-00009 Debrecen, Cegléd utca 6. sz. alatti háziorvosi rendelő infrastrukturális fejlesztése</t>
  </si>
  <si>
    <t>TOP-6.6.1-15-DE1-2016-00010 Debrecen, Nagysándor-telepi egészségügyi alapellátás infrastrukturális fejlesztése</t>
  </si>
  <si>
    <t>TOP-6.6.1-15-DE1-2016-00011 Debrecen, Bajcsy-Zsilinszky utca 32. sz. alatti házi gyermekorvosi és védőnői alapellátás infrastrukturális fejlesztése</t>
  </si>
  <si>
    <t>TOP 6.6.2-15-DE1-2016-00001 Családsegítő és Gyermekjóléti Központ infrastrukturális fejlesztése Debrecenben</t>
  </si>
  <si>
    <t>Modern Városok</t>
  </si>
  <si>
    <t xml:space="preserve">Modern Városok Program, Debreceni Nemzetközi Repülőtér technikai fejlesztése </t>
  </si>
  <si>
    <t>Modern Városok Program, Angol nyelvű alap- és középfokú oktatási intézmény létrehozása</t>
  </si>
  <si>
    <t>Modern Városok Program, A debreceni Nagyerdő program befejezése, fürdőfejlesztés</t>
  </si>
  <si>
    <t>Egyéb, nem pályázati forrásból megvalósuló beruházások</t>
  </si>
  <si>
    <t>Térfigyelő kamerarendszer kiépítése Debrecenben</t>
  </si>
  <si>
    <t>Eu-s pályázatokkal kapcsolatban év közben felmerülő költségek</t>
  </si>
  <si>
    <t>Hatósági díjak, beruházásokhoz kapcsolódó közmű számlák</t>
  </si>
  <si>
    <t>Tervezés, szakértés, intézmények állapotfelmérése és tervezési koncepció kialakítása</t>
  </si>
  <si>
    <t>ISPA eszközök felújítása, pótlása</t>
  </si>
  <si>
    <t>Ifjúsági ház előadó terem hangszigetelési és klimatizálási beruházási munkái</t>
  </si>
  <si>
    <t>Önkormányzati tulajdonú épületekkel kapcsolatban az év közben felmerülő kiadások</t>
  </si>
  <si>
    <t>Mobil jégpálya kialakítása</t>
  </si>
  <si>
    <t xml:space="preserve">2-es villamosvonal építése nem támogatott költség </t>
  </si>
  <si>
    <t>Ady Endre Gimnázium energetikai felújítása - Norvég Alap</t>
  </si>
  <si>
    <t>Hatvani István Általános Iskola energetikai felújítása - Norvég Alap</t>
  </si>
  <si>
    <t>(5. melléklet 6. cím részletezése)</t>
  </si>
  <si>
    <t>6.1.1</t>
  </si>
  <si>
    <t>Önkormányzati tulajdonú társasházi lakások után fizetendő társasházi közös költség</t>
  </si>
  <si>
    <t>6.1.2</t>
  </si>
  <si>
    <t>Panelprogram önkormányzatot terhelő önrésze</t>
  </si>
  <si>
    <t>6.1.3</t>
  </si>
  <si>
    <t>Cívis Ház Zrt. által a lakásértékesítés bevételéből levonható költség</t>
  </si>
  <si>
    <t>6.1.4</t>
  </si>
  <si>
    <t>Önkormányzati tulajdonú lakóingatlanok felújítása</t>
  </si>
  <si>
    <t>6.1.5</t>
  </si>
  <si>
    <t>Bérlakások gázvezeték és gázkészülék műszaki biztonsági felülvizsgálata</t>
  </si>
  <si>
    <t>6.1.6</t>
  </si>
  <si>
    <t>Városrehabilitáció</t>
  </si>
  <si>
    <t>6.1.7</t>
  </si>
  <si>
    <t>Tartalék</t>
  </si>
  <si>
    <t>Kertségi fejlesztési program</t>
  </si>
  <si>
    <t>(5. melléklet 8. cím részletezése)</t>
  </si>
  <si>
    <t>8.2.1</t>
  </si>
  <si>
    <t>Öntözés fejlesztések, meglévő zöldfelületekhez</t>
  </si>
  <si>
    <t>8.2.2</t>
  </si>
  <si>
    <t xml:space="preserve">Bevezető út program </t>
  </si>
  <si>
    <t>8.2.3</t>
  </si>
  <si>
    <t>Közlekedési csomópontok akadálymentesítése</t>
  </si>
  <si>
    <t>8.2.4</t>
  </si>
  <si>
    <t>Közlekedési jelzőlámpák program módosítás</t>
  </si>
  <si>
    <t>8.2.5</t>
  </si>
  <si>
    <t>Útstabilizáció</t>
  </si>
  <si>
    <t>8.2.6</t>
  </si>
  <si>
    <t>Közlekedési csomópontok visszaszámláló berendezésének cseréje</t>
  </si>
  <si>
    <t>8.2.7</t>
  </si>
  <si>
    <t>Közvilágítási hálózat bővítése</t>
  </si>
  <si>
    <t>8.2.8</t>
  </si>
  <si>
    <t>Csapadékvíz-elvezető csatornák vízjogi engedélyezése</t>
  </si>
  <si>
    <t>8.2.9</t>
  </si>
  <si>
    <t>8.2.10</t>
  </si>
  <si>
    <t>8.2.11</t>
  </si>
  <si>
    <t>8.2.12</t>
  </si>
  <si>
    <t>Csapadékvíz befogadók rekonstrukciója</t>
  </si>
  <si>
    <t>8.2.13</t>
  </si>
  <si>
    <t>8.2.14</t>
  </si>
  <si>
    <t>8.2.15</t>
  </si>
  <si>
    <t>8.2.16</t>
  </si>
  <si>
    <t>Környezetvédelmi hatósági kötelezések</t>
  </si>
  <si>
    <t>8.2.17</t>
  </si>
  <si>
    <t>Városüzemeltetéshez kapcsolódó beruházási előirányzat</t>
  </si>
  <si>
    <t>8.2.18</t>
  </si>
  <si>
    <t>8.2.19</t>
  </si>
  <si>
    <t>8.2.20</t>
  </si>
  <si>
    <t>TOP-6.1.4-15-DE1-2016-00001 Turisztikai célú kerékpárút fejlesztése Biczó István kert és a Panoráma út között</t>
  </si>
  <si>
    <t>8.2.21</t>
  </si>
  <si>
    <t>8.2.22</t>
  </si>
  <si>
    <t>TOP-6.4.1-15-DE1-2016-00005 Kismacsra vezető kerékpárút kialakítása</t>
  </si>
  <si>
    <t>8.2.23</t>
  </si>
  <si>
    <t>8.2.24</t>
  </si>
  <si>
    <t>8.2.25</t>
  </si>
  <si>
    <t>Önkormányzati forrásból megvalósuló út-, közmű-, járdaépítés</t>
  </si>
  <si>
    <t>Egészségügyi feladatok</t>
  </si>
  <si>
    <t>(5. melléklet 10. cím részletezése)</t>
  </si>
  <si>
    <t>10.1.1</t>
  </si>
  <si>
    <t>10.1.2</t>
  </si>
  <si>
    <t>Foglalkozás-egészségügyi alapszolgáltatás</t>
  </si>
  <si>
    <t>10.1.3</t>
  </si>
  <si>
    <t>10.1.4</t>
  </si>
  <si>
    <t>10.1.5</t>
  </si>
  <si>
    <t>10.1.6</t>
  </si>
  <si>
    <t>10.2.1</t>
  </si>
  <si>
    <t xml:space="preserve"> </t>
  </si>
  <si>
    <t>Népjóléti feladatok</t>
  </si>
  <si>
    <t>(5. melléklet 11. cím részletezése)</t>
  </si>
  <si>
    <t>11.1.1</t>
  </si>
  <si>
    <t>Hátrányos helyzetű gyermekek hétvégi étkeztetésének megvalósítása a Magyar Máltai Szeretetszolgálat Debreceni Csoportja által</t>
  </si>
  <si>
    <t>11.1.3</t>
  </si>
  <si>
    <t>Hátrányos helyzetű gyermekek nyári üdültetése</t>
  </si>
  <si>
    <t>11.2.1</t>
  </si>
  <si>
    <t>Bursa Hungarica Felsőoktatási Önkormányzati Ösztöndíjpályázat</t>
  </si>
  <si>
    <t>11.2.2</t>
  </si>
  <si>
    <t>Sportfeladatok és kiemelt sportrendezvények</t>
  </si>
  <si>
    <t>(5. melléklet 12. cím részletezése)</t>
  </si>
  <si>
    <t>12.1.1</t>
  </si>
  <si>
    <t>Diáksport versenyek támogatása</t>
  </si>
  <si>
    <t>12.1.2</t>
  </si>
  <si>
    <t>Szakszövetségi versenyek támogatása</t>
  </si>
  <si>
    <t>12.1.3</t>
  </si>
  <si>
    <t>Kiemelt sportrendezvények szervezése, támogatása</t>
  </si>
  <si>
    <t>12.1.4</t>
  </si>
  <si>
    <t>Szabadidősport</t>
  </si>
  <si>
    <t>12.1.5</t>
  </si>
  <si>
    <t>12.2.1</t>
  </si>
  <si>
    <t>Sportuszoda használat támogatása</t>
  </si>
  <si>
    <t>12.2.2</t>
  </si>
  <si>
    <t>Békessy Béla Sport ösztöndíj</t>
  </si>
  <si>
    <t>12.2.3</t>
  </si>
  <si>
    <t>12.2.4</t>
  </si>
  <si>
    <t>Önkormányzat által folyósított ellátások</t>
  </si>
  <si>
    <t>(5. melléklet 13. cím részletezése)</t>
  </si>
  <si>
    <t>13.1.1</t>
  </si>
  <si>
    <t>Települési támogatás</t>
  </si>
  <si>
    <t>13.1.1.1</t>
  </si>
  <si>
    <t>Lakásfenntartási támogatás</t>
  </si>
  <si>
    <t>13.1.1.2</t>
  </si>
  <si>
    <t>Adósságcsökkentési támogatás</t>
  </si>
  <si>
    <t>13.1.1.3</t>
  </si>
  <si>
    <t>13.1.1.4</t>
  </si>
  <si>
    <t>Temetési támogatás</t>
  </si>
  <si>
    <t>13.1.2</t>
  </si>
  <si>
    <t>Települési támogatás (természetbeni)</t>
  </si>
  <si>
    <t>13.1.2.1</t>
  </si>
  <si>
    <t>Iskolakezdési támogatás</t>
  </si>
  <si>
    <t>13.1.2.2</t>
  </si>
  <si>
    <t>Gyógyszertámogatás</t>
  </si>
  <si>
    <t>13.1.2.3</t>
  </si>
  <si>
    <t>Kelengye támogatás</t>
  </si>
  <si>
    <t>13.1.2.4</t>
  </si>
  <si>
    <t>Rászorultsági térítési díj</t>
  </si>
  <si>
    <t>13.1.3</t>
  </si>
  <si>
    <t>Köztemetés</t>
  </si>
  <si>
    <t>13.1.4</t>
  </si>
  <si>
    <t>13.2.1</t>
  </si>
  <si>
    <t>70 éven felüliek hulladékgazdálkodási közszolgáltatási díjtámogatása</t>
  </si>
  <si>
    <t>13.2.2</t>
  </si>
  <si>
    <t>Gyógyfürdő támogatás</t>
  </si>
  <si>
    <t>13.2.3</t>
  </si>
  <si>
    <t>Tehetséges tanulók támogatása</t>
  </si>
  <si>
    <t>Közművelődési feladatok</t>
  </si>
  <si>
    <t>15.1.1</t>
  </si>
  <si>
    <t>Városi szintű rendezvények, kulturális közösségi programok, városrészi rendezvények</t>
  </si>
  <si>
    <t>15.1.2</t>
  </si>
  <si>
    <t>Szakértők, művészek eseti megbízási díja</t>
  </si>
  <si>
    <t>15.1.3</t>
  </si>
  <si>
    <t>15.1.4</t>
  </si>
  <si>
    <t>15.1.5</t>
  </si>
  <si>
    <t>Kiemelt gyermek- és ifjúsági kulturális rendezvények</t>
  </si>
  <si>
    <t>15.1.6</t>
  </si>
  <si>
    <t>Antal-Lusztig gyűjteménnyel kapcsolatos költségek</t>
  </si>
  <si>
    <t>15.1.7</t>
  </si>
  <si>
    <t>Debreceni Nyári Egyetem támogatása</t>
  </si>
  <si>
    <t>15.1.8</t>
  </si>
  <si>
    <t>Közművelődési támogatások (az ellátatlan városrészek közösségi színtereinek működtetése)</t>
  </si>
  <si>
    <t>15.1.9</t>
  </si>
  <si>
    <t>Kölcsey Ferenc ösztöndíj</t>
  </si>
  <si>
    <t>15.1.10</t>
  </si>
  <si>
    <t>Debreceni Értéktár Bizottság működésével kapcsolatos kiadások</t>
  </si>
  <si>
    <t>15.1.11</t>
  </si>
  <si>
    <t>15.1.12</t>
  </si>
  <si>
    <t>15.1.13</t>
  </si>
  <si>
    <t>15.1.14</t>
  </si>
  <si>
    <t>15.1.15</t>
  </si>
  <si>
    <t>Alapítványok önkormányzati támogatása</t>
  </si>
  <si>
    <t>Alföld Alapítvány támogatása</t>
  </si>
  <si>
    <t>Debrecen Kultúrájáért Alapítvány támogatása</t>
  </si>
  <si>
    <t>Őrváros Debrecen Közalapítvány támogatása</t>
  </si>
  <si>
    <t>Tehetséges Debreceni Fiatalokért Közalapítvány támogatása</t>
  </si>
  <si>
    <t>Egyéb alapítványok évközi támogatása</t>
  </si>
  <si>
    <t>Támogatások</t>
  </si>
  <si>
    <t>(5. melléklet 16. cím részletezése)</t>
  </si>
  <si>
    <t>16.1.1</t>
  </si>
  <si>
    <t>Önkormányzati, illetve részben önkormányzati tulajdonban lévő vállalkozások támogatása összesen</t>
  </si>
  <si>
    <t>16.1.1.1</t>
  </si>
  <si>
    <t>16.1.1.3</t>
  </si>
  <si>
    <t>Debreceni Ifjúsági Nonprofit Kft. támogatása</t>
  </si>
  <si>
    <t>16.1.1.4</t>
  </si>
  <si>
    <t>Debreceni Sportcentrum Közhasznú Nonprofit Kft. támogatása</t>
  </si>
  <si>
    <t>16.1.1.5</t>
  </si>
  <si>
    <t>Debreceni Sportcentrum Közhasznú Nonprofit Kft. támogatása (versenysport támogatása)</t>
  </si>
  <si>
    <t>16.1.1.6</t>
  </si>
  <si>
    <t>16.1.1.7</t>
  </si>
  <si>
    <t>DEHUSZ Nonprofit Kft. támogatása</t>
  </si>
  <si>
    <t>16.1.1.8</t>
  </si>
  <si>
    <t>EDC Debrecen Nonprofit Kft. támogatása</t>
  </si>
  <si>
    <t>16.1.1.9</t>
  </si>
  <si>
    <t>16.1.1.10</t>
  </si>
  <si>
    <t>Főnix Rendezvényszervező Közhasznú Nonprofit Kft. támogatása</t>
  </si>
  <si>
    <t>16.1.1.11</t>
  </si>
  <si>
    <t>"NAGYERDEI KULTÚRPARK" Nonprofit Kft. támogatása</t>
  </si>
  <si>
    <t>16.2.1</t>
  </si>
  <si>
    <t>Sportszervezetek támogatásai összesen</t>
  </si>
  <si>
    <t>16.2.1.1</t>
  </si>
  <si>
    <t>16.2.1.2</t>
  </si>
  <si>
    <t>16.2.1.3</t>
  </si>
  <si>
    <t>16.2.1.4</t>
  </si>
  <si>
    <t>16.2.1.5</t>
  </si>
  <si>
    <t>16.2.1.6</t>
  </si>
  <si>
    <t>Debreceni Hoki Klub támogatása</t>
  </si>
  <si>
    <t>16.2.1.7</t>
  </si>
  <si>
    <t>Cívis Póló Vízilabda Sportegyesület támogatása</t>
  </si>
  <si>
    <t>LOKI Focisuli Debrecen KSE támogatása</t>
  </si>
  <si>
    <t>16.2.2</t>
  </si>
  <si>
    <t>Egyéb támogatások</t>
  </si>
  <si>
    <t>16.2.2.1</t>
  </si>
  <si>
    <t>Polgárőr szövetségek támogatása</t>
  </si>
  <si>
    <t>16.2.2.2</t>
  </si>
  <si>
    <t>Térfigyelő rendszer üzemeltetés bérköltségének támogatása</t>
  </si>
  <si>
    <t>16.2.2.3</t>
  </si>
  <si>
    <t>16.2.2.4</t>
  </si>
  <si>
    <t>Nagyerdei Stadion Rekonstrukciós Kft. támogatása</t>
  </si>
  <si>
    <t>16.2.2.5</t>
  </si>
  <si>
    <t>16.2.2.6</t>
  </si>
  <si>
    <t>Kárpátaljai települések és szervezetek támogatása</t>
  </si>
  <si>
    <t>16.2.3</t>
  </si>
  <si>
    <t>Tagdíjak összesen</t>
  </si>
  <si>
    <t>16.2.3.1</t>
  </si>
  <si>
    <t>Megyei Jogú Városok Szövetsége</t>
  </si>
  <si>
    <t>16.2.3.2</t>
  </si>
  <si>
    <t xml:space="preserve">Debreceni Agglomeráció Hulladékgazdálkodási Társulás (hozzájárulás) </t>
  </si>
  <si>
    <t>16.2.3.3</t>
  </si>
  <si>
    <t>Városok-Falvak Szövetsége</t>
  </si>
  <si>
    <t>16.2.3.4</t>
  </si>
  <si>
    <t>Bihari Szilárd Hulladéklerakó és Hasznosító Társulás munkaszervezeti feladatainak ellátásához tagi hozzájárulás</t>
  </si>
  <si>
    <t>16.2.3.5</t>
  </si>
  <si>
    <t>Dél-Nyírség, Erdőspuszták Leader Egyesület</t>
  </si>
  <si>
    <t>16.2.3.6</t>
  </si>
  <si>
    <t>Vásárszövetség tagdíj</t>
  </si>
  <si>
    <t>Egyéb kiadások</t>
  </si>
  <si>
    <t>(5. melléklet 21. cím részletezése)</t>
  </si>
  <si>
    <t>21.1.1</t>
  </si>
  <si>
    <t>21.1.2</t>
  </si>
  <si>
    <t>Számlavezetés költségei</t>
  </si>
  <si>
    <t>21.1.3</t>
  </si>
  <si>
    <t>Áfa befizetés</t>
  </si>
  <si>
    <t>21.1.4</t>
  </si>
  <si>
    <t>21.1.5</t>
  </si>
  <si>
    <t>Megbízási díjak</t>
  </si>
  <si>
    <t>21.1.6</t>
  </si>
  <si>
    <t>21.1.7</t>
  </si>
  <si>
    <t>21.1.8</t>
  </si>
  <si>
    <t>21.1.9</t>
  </si>
  <si>
    <t>Lakossági ivóvíz szolgáltatás támogatása</t>
  </si>
  <si>
    <t>21.1.10</t>
  </si>
  <si>
    <t>Elismerő címek, díjak és kitüntetések</t>
  </si>
  <si>
    <t>21.1.11</t>
  </si>
  <si>
    <t>Normatív állami támogatások elszámolása</t>
  </si>
  <si>
    <t>21.1.12</t>
  </si>
  <si>
    <t xml:space="preserve">Közbeszerzési eljárások közzétételi díja </t>
  </si>
  <si>
    <t>21.1.13</t>
  </si>
  <si>
    <t>Kisgyermekes bérlet kedvezmény bevételkiesésének fedezete</t>
  </si>
  <si>
    <t>21.1.14</t>
  </si>
  <si>
    <t>21.1.15</t>
  </si>
  <si>
    <t>21.1.16</t>
  </si>
  <si>
    <t>Széchenyi terves lakások üzemeltetésével kapcsolatos kiadások (pénzforgalom nélküli)</t>
  </si>
  <si>
    <t>21.1.17</t>
  </si>
  <si>
    <t xml:space="preserve">Debreceni Viziközmű Társulat </t>
  </si>
  <si>
    <t>21.1.18</t>
  </si>
  <si>
    <t>Olajfa Lakópark Víziközmű Társulat</t>
  </si>
  <si>
    <t>21.1.19</t>
  </si>
  <si>
    <t>Helyi adóval összefüggő igazgatási és végrehajtási díjak, költségek</t>
  </si>
  <si>
    <t>21.1.20</t>
  </si>
  <si>
    <t>Önkormányzati társasági tulajdonrészekkel kapcsolatos költségek</t>
  </si>
  <si>
    <t>21.1.21</t>
  </si>
  <si>
    <t>Jogi oltalmakhoz kapcsolódó megbízási díjak, és jogi, végrehajtási eljárásokban felmerülő költségek</t>
  </si>
  <si>
    <t>21.1.22</t>
  </si>
  <si>
    <t>Helyi önkormányzatok szolidaritási hozzájárulása</t>
  </si>
  <si>
    <t>21.1.23</t>
  </si>
  <si>
    <t>Műsoridő vásárlás</t>
  </si>
  <si>
    <t>Nemzetközi Iskola megvalósítása</t>
  </si>
  <si>
    <t>21.3.1</t>
  </si>
  <si>
    <t>Honvédelem, polgári védelem, katasztrófavédelem</t>
  </si>
  <si>
    <t>Városmarketing feladatok</t>
  </si>
  <si>
    <t>(5. melléklet 22. cím részletezése)</t>
  </si>
  <si>
    <t>22.2.1</t>
  </si>
  <si>
    <t>Média-megjelenések és kiadványok</t>
  </si>
  <si>
    <t>22.2.2</t>
  </si>
  <si>
    <t>22.2.3</t>
  </si>
  <si>
    <t>Idegenforgalmi feladatok</t>
  </si>
  <si>
    <t>22.2.4</t>
  </si>
  <si>
    <t>Díszkivilágítás</t>
  </si>
  <si>
    <t>22.2.5</t>
  </si>
  <si>
    <t>Állampolgársági eskütétellel kapcsolatos feladatok</t>
  </si>
  <si>
    <t>22.2.6</t>
  </si>
  <si>
    <t>Gazdaságszervezési, gazdaságfejlesztési feladatok</t>
  </si>
  <si>
    <t>22.2.7</t>
  </si>
  <si>
    <t>Informatikai feladatok</t>
  </si>
  <si>
    <t>22.2.8</t>
  </si>
  <si>
    <t>22.2.9</t>
  </si>
  <si>
    <t>Nemzetközi kapcsolatok</t>
  </si>
  <si>
    <t>22.2.10</t>
  </si>
  <si>
    <t>Hortobágyi lovasnapok</t>
  </si>
  <si>
    <t>22.2.11</t>
  </si>
  <si>
    <t>Nemzetközi és hazai támogatású pályázatok</t>
  </si>
  <si>
    <t>(5. melléklet 23. cím részletezése)</t>
  </si>
  <si>
    <t>23.1.1</t>
  </si>
  <si>
    <t>TÁMOP 3.1.3. - 11/2-2012-0043 "A természettudományos oktatás megújítása Debrecenben, Öveges program a TÁG-ban"</t>
  </si>
  <si>
    <t>23.1.2</t>
  </si>
  <si>
    <t>TOP-6.8.2-15 Foglalkoztatási paktum kialakítása</t>
  </si>
  <si>
    <t>23.1.3</t>
  </si>
  <si>
    <t>TOP-6.9.1-15 Társadalmi együttműködés erősítés Nagymacs városrészen</t>
  </si>
  <si>
    <t>23.1.4</t>
  </si>
  <si>
    <t>HU11-0002-A1-2013 Egészséges és aktív időskor</t>
  </si>
  <si>
    <t>23.1.5</t>
  </si>
  <si>
    <t>23.1.6</t>
  </si>
  <si>
    <t>Év közben induló pályázatok</t>
  </si>
  <si>
    <t>23.1.7</t>
  </si>
  <si>
    <t>"TTP-KP-1-2017/1-000371 Bethlen Gábor Alap-Debrecen és Salánk kapcsolatépítése</t>
  </si>
  <si>
    <t>Vagyongazdálkodási feladatok</t>
  </si>
  <si>
    <t>(5. melléklet 24. cím részletezése)</t>
  </si>
  <si>
    <t>24.1.1</t>
  </si>
  <si>
    <t>Üzemeltetési költség</t>
  </si>
  <si>
    <t>24.1.2</t>
  </si>
  <si>
    <t xml:space="preserve">Ingatlanértékesítés előkészítése </t>
  </si>
  <si>
    <t>24.1.3</t>
  </si>
  <si>
    <t xml:space="preserve">Önkormányzattal szembeni követelések, kártérítések </t>
  </si>
  <si>
    <t>24.1.4</t>
  </si>
  <si>
    <t>Vagyonkataszter karbantartás</t>
  </si>
  <si>
    <t>24.1.5</t>
  </si>
  <si>
    <t xml:space="preserve">Egyéb vagyonkezelési költség </t>
  </si>
  <si>
    <t>24.1.6</t>
  </si>
  <si>
    <t>Térítési díjak önkormányzati lakások kiürítéséhez</t>
  </si>
  <si>
    <t>24.1.7</t>
  </si>
  <si>
    <t>Stratégiai vagyonalap</t>
  </si>
  <si>
    <t>Szabályozási tervi korlátozás, kisajátítás, adásvétel</t>
  </si>
  <si>
    <t>24.1.9</t>
  </si>
  <si>
    <t xml:space="preserve">Ingatlan forgalmi értékének a szabályozási tervi előírások miatti értékcsökkenéséből adódó kártalanítás </t>
  </si>
  <si>
    <t>24.1.10</t>
  </si>
  <si>
    <t xml:space="preserve">Bontási költség </t>
  </si>
  <si>
    <t>24.1.11</t>
  </si>
  <si>
    <t>Színház funkció befogadására létesített ingatlan állagmegóvásával és vagyonvédelmével kapcsolatos kiadások</t>
  </si>
  <si>
    <t>24.1.12</t>
  </si>
  <si>
    <t>Bérleti díj beszámítással végzett beruházások, felújítások elszámolása</t>
  </si>
  <si>
    <t>24.1.13</t>
  </si>
  <si>
    <t>Ingatlancserék</t>
  </si>
  <si>
    <t>24.1.14</t>
  </si>
  <si>
    <t>Felújítások</t>
  </si>
  <si>
    <t>24.1.15</t>
  </si>
  <si>
    <t>Nem lakás célú önkormányzati tulajdonú helyiségek közös költségei</t>
  </si>
  <si>
    <t>24.1.16</t>
  </si>
  <si>
    <t>Riasztórendszerek kiépítése, figyelőszolgáltatása, karbantartása</t>
  </si>
  <si>
    <t>24.1.17</t>
  </si>
  <si>
    <t>24.1.18</t>
  </si>
  <si>
    <t>Stadion lebegő járda földhasználati díj ellentételezése</t>
  </si>
  <si>
    <t>Nemzetiségi Önkormányzatok működési támogatása</t>
  </si>
  <si>
    <t>(5. melléklet 25. cím részletezése)</t>
  </si>
  <si>
    <t>25.2.1</t>
  </si>
  <si>
    <t>DMJV Bolgár Nemzetiségi Önkormányzat működési támogatása</t>
  </si>
  <si>
    <t>25.2.2</t>
  </si>
  <si>
    <t>DMJV Roma Nemzetiségi Önkormányzat működési támogatása</t>
  </si>
  <si>
    <t>25.2.3</t>
  </si>
  <si>
    <t>DMJV Örmény Nemzetiségi Önkormányzat működési támogatása</t>
  </si>
  <si>
    <t>25.2.4</t>
  </si>
  <si>
    <t>DMJV Német Nemzetiségi Önkormányzat működési támogatása</t>
  </si>
  <si>
    <t>25.2.5</t>
  </si>
  <si>
    <t>DMJV Román Nemzetiségi Önkormányzat működési támogatása</t>
  </si>
  <si>
    <t>25.2.6</t>
  </si>
  <si>
    <t>DMJV Ruszin Nemzetiségi  Önkormányzat működési támogatása</t>
  </si>
  <si>
    <t>25.2.7</t>
  </si>
  <si>
    <t>DMJV Görög Nemzetiségi  Önkormányzat működési támogatása</t>
  </si>
  <si>
    <t>Céltartalék</t>
  </si>
  <si>
    <t>(5. melléklet 27. cím részletezése)</t>
  </si>
  <si>
    <t>27.1.1</t>
  </si>
  <si>
    <t>27.1.2</t>
  </si>
  <si>
    <t>27.1.3</t>
  </si>
  <si>
    <t>27.1.4</t>
  </si>
  <si>
    <t>Megyei Könyvtár Kistelepülési könyvtári célú kiegészítő támogatása</t>
  </si>
  <si>
    <t>27.1.5</t>
  </si>
  <si>
    <t>27.1.6</t>
  </si>
  <si>
    <t>27.1.7</t>
  </si>
  <si>
    <t>Költségvetési intézményeket érintő évközi feladatok</t>
  </si>
  <si>
    <t>27.1.8</t>
  </si>
  <si>
    <t>Központi kezelésű feladatok évközi többletfeladatai</t>
  </si>
  <si>
    <t>27.1.9</t>
  </si>
  <si>
    <t>Érdekeltségnövelő támogatás (önrész)</t>
  </si>
  <si>
    <t>27.1.10</t>
  </si>
  <si>
    <t>Kubinyi Ágoston program (önrész)</t>
  </si>
  <si>
    <t>23.1.8</t>
  </si>
  <si>
    <t>23.1.9</t>
  </si>
  <si>
    <t>23.1.10</t>
  </si>
  <si>
    <t>23.1.11</t>
  </si>
  <si>
    <t>23.1.12</t>
  </si>
  <si>
    <t>23.1.13</t>
  </si>
  <si>
    <t>23.1.14</t>
  </si>
  <si>
    <t>TOP-6.9.2-16-DE1-2017-00006
Helyi közösségfejlesztés Debrecen – Józsa városrészen</t>
  </si>
  <si>
    <t>TOP-6.9.2-16-DE1-2017-00003
Helyi közösségfejlesztés Ondód városrészen</t>
  </si>
  <si>
    <t>TOP-6.9.2-16-DE1-2017-00002
Helyi közösségfejlesztés Bánk városrészen</t>
  </si>
  <si>
    <t>TOP-6.9.2-16-DE1-2017-00001
Helyi közösségfejlesztés Debrecen1 városrészen</t>
  </si>
  <si>
    <t>TOP-6.9.2-16-DE1-2017-00005
Helyi közösségfejlesztés Debrecen2 városrészen</t>
  </si>
  <si>
    <t>TOP-6.9.2-16-DE1-2017-00004
Helyi közösségfejlesztés Debrecen3 városrészen</t>
  </si>
  <si>
    <t>Parkolóalap kiadásai</t>
  </si>
  <si>
    <t>TOP-6.1.5-16-DE1-2017-00005 Debrecen déli gazdasági övezet elérhetőségének javítása</t>
  </si>
  <si>
    <t>TOP-6.1.5-16-DE1-2017-00003 A Köntösgát soron lévő ipari terület elérhetőségének javítása</t>
  </si>
  <si>
    <t>TOP-6.6.2-16-DE1-2017-00001 VSzSz Süveg utcai telephelyének infrastrukturális fejlesztése</t>
  </si>
  <si>
    <t>TOP-6.6.2-16-DE1-2017-00002 Fogyatékos Személyek Ifjúság Utcai Nappali Intézményének infrastrukturális fejlesztése</t>
  </si>
  <si>
    <t>TOP-6.6.2-16-DE1-2017-00003 VSzSz Csapó utcai telephelyének infrastrukturális fejlesztése</t>
  </si>
  <si>
    <t>TOP-6.6.2-16-DE1-2017-00004 VSzSz Pósa utcai telephelyének infrastrukturális fejlesztése</t>
  </si>
  <si>
    <t>TOP-6.6.2-16-DE1-2017-00005 VSzSz Thomas Mann utcai telephelyének infrastrukturális fejlesztése</t>
  </si>
  <si>
    <t>Csokonai Színház és színészház felújítása - Modern Városok Program</t>
  </si>
  <si>
    <t>GZR-T-Ö-2016-0009 "Jedlik Ányos Terv" Elektromos töltőállomás alapján helyi önkormányzatok részére</t>
  </si>
  <si>
    <t>GINOP-7.1.9 Turisztikai Központ-Ötholdas pagonyban</t>
  </si>
  <si>
    <t>Nemzeti Szabadidős-Egészség Sportpark program</t>
  </si>
  <si>
    <t>Gyulai István Atlétikai Stadion és futófolyosó felújítása </t>
  </si>
  <si>
    <t>Rigó Dezső tekecsarnok felújítása, Oláh Gábor u. 5. sz.  </t>
  </si>
  <si>
    <t xml:space="preserve">TOP-6.1.5-16-DE1-2017-00002 Határ úti ipari park elérhetőségének javítása </t>
  </si>
  <si>
    <t>TOP-6.1.5-16-DE1-2017-00001 Innovációs iparterület elérhetőségének javítása</t>
  </si>
  <si>
    <t>8.2.26</t>
  </si>
  <si>
    <t>8.2.27</t>
  </si>
  <si>
    <t>8.2.28</t>
  </si>
  <si>
    <t>Debreceni Egyetem</t>
  </si>
  <si>
    <t>4.1.11</t>
  </si>
  <si>
    <t>23.1.15</t>
  </si>
  <si>
    <t>1.1.1.</t>
  </si>
  <si>
    <t>1-2-17-3800-0181-8</t>
  </si>
  <si>
    <t>OTP Bank Nyrt. (3 mrd Ft hitel)</t>
  </si>
  <si>
    <t>Debreceni Német Kulturális Fórum támogatása</t>
  </si>
  <si>
    <t>Interreg Europe-String projekt</t>
  </si>
  <si>
    <t>23.1.16</t>
  </si>
  <si>
    <t>23.1.17</t>
  </si>
  <si>
    <t>TOP-6.9.1-16-DE1-2017-00001 Közösségfejlesztő, képzési és felzárkóztató programok megvalósítása a Nagysándortelep-Vulkántelepen városrészen</t>
  </si>
  <si>
    <t>Egyéb egészségügyi ellátás</t>
  </si>
  <si>
    <t>Közúti jelzőlámpa üzemeltetése, karbantartása és fejlesztése</t>
  </si>
  <si>
    <t>Gépi, kézi úttisztítás és utcai szemétszállítás, illegális szemétlerakók megszüntetése, lombgyűjtőzsák biztosítása a lakosság részére</t>
  </si>
  <si>
    <t>Zöldterületi károk helyreállítása</t>
  </si>
  <si>
    <t>Tervezési feladatok, megbízási díjak</t>
  </si>
  <si>
    <t xml:space="preserve">Nádor utcai park rekonstrukciója </t>
  </si>
  <si>
    <t>Borbíró tér fejlesztés</t>
  </si>
  <si>
    <t>Városrendezési tervek</t>
  </si>
  <si>
    <t>(5. melléklet 7. cím részletezése)</t>
  </si>
  <si>
    <t>7.1.1</t>
  </si>
  <si>
    <t>7.2.1</t>
  </si>
  <si>
    <t>7.2.2</t>
  </si>
  <si>
    <t>Tanulmánytervek, beépítési tervek készítésének díjazása</t>
  </si>
  <si>
    <t>7.2.3</t>
  </si>
  <si>
    <t>Díjazási-, bíráló bizottsági tiszteletdíjak költségei</t>
  </si>
  <si>
    <t>7.2.4</t>
  </si>
  <si>
    <t>Érdekvédelmi rendelet módosítása</t>
  </si>
  <si>
    <t>7.2.5</t>
  </si>
  <si>
    <t>7.2.6</t>
  </si>
  <si>
    <t>Településképi Arculati Kézikönyv szerkesztésével és sokszorosításával kapcsolatos költségek</t>
  </si>
  <si>
    <t>TOP-6.3.3-16-DE1-2017-00003 Debrecen, Létai úti csapadékvíz elvezető főgerincvezeték rekonstrukciójának I. üteme</t>
  </si>
  <si>
    <t>TOP-6.3.3-16-DE1-2017-00001 Debrecen, Nagysándortelep csapadékvíz elvezetése II. ütem</t>
  </si>
  <si>
    <t>TOP-6.3.3-16-DE1-2017-00002 Debrecen, Tarján utca csapadékvíz elvezetése</t>
  </si>
  <si>
    <t>TOP-6.1.2-16 Inkubátorházak fejlesztése</t>
  </si>
  <si>
    <t>TOP-6.1.5-15 Gazdaságfejlesztést és a munkaerő mobilitás ösztönzés</t>
  </si>
  <si>
    <t>TOP-6.2.1-16-DE1-2017-00001 A Gönczy Pál Utcai Óvoda tornaszobával történő bővítése</t>
  </si>
  <si>
    <t>TOP-6.2.1-16-DE1-2017-00002 Károlyi M. u-i bölcsődei tagintézmény infrastruktúrális fejlesztése</t>
  </si>
  <si>
    <t>TOP-6.2.1-16-DE1-2017-00003 Új óvoda építése a Tócóvölgyben (Tócóskerti Óvoda Napsugár Tagintézménye)</t>
  </si>
  <si>
    <t>TOP-6.3.2-16 Zöld város kialakítása</t>
  </si>
  <si>
    <t>TOP-6.4.1-16 Fenntartható városi közlekedésfejlesztés</t>
  </si>
  <si>
    <t xml:space="preserve">TOP-6.4.1-16-DE1-2017-00001 Nyugati kiskörút III. ütem </t>
  </si>
  <si>
    <t>TOP-6.5.1-16 Önkormányzati épületek energetikai korszerűsítése</t>
  </si>
  <si>
    <t>TOP-6.5.1-16-DE1-2017-00001 A Görgey Utcai Óvoda épületének energetikai korszerűsítése</t>
  </si>
  <si>
    <t xml:space="preserve"> TOP-6.5.1-16-DE1-2017-00002 A Régi Városháza épületének energetikai korszerűsítése</t>
  </si>
  <si>
    <t>TOP-6.5.1-16-DE1-2017-00003 Karácsony György Utcai Óvoda épületének energetikai korszerűsítése</t>
  </si>
  <si>
    <t>TOP-6.5.1-16-DE1-2017-00004 Sinay Miklós Utcai Óvoda épületének energetikai korszerűsítése</t>
  </si>
  <si>
    <t xml:space="preserve">TOP-6.5.1-16-DE1-2017-00005 Mosolykert Óvoda Kismacsi Telephelye épületének energetikai korszerűsítése    </t>
  </si>
  <si>
    <t>TOP-6.5.1-16-DE1-2017-00006 A Debrecen, Jerikó u. 17. szám alatti intézmények épületegyüttesének energetikai korszerűsítése</t>
  </si>
  <si>
    <t>TOP-6.5.1-16-DE1-2017-00008 DMJV EBI Görgey Utcai Tagintézmény épületének energetikai korszerűsítése</t>
  </si>
  <si>
    <t>TOP-6.5.1-16-DE1-2017-00007  A Csapókerti Közösségi Ház épületének energetikai korszerűsítése</t>
  </si>
  <si>
    <t>TOP-6.5.1-16-DE1-2017-00009 A Debreceni Bocskai István Általános Iskola épületének energetikai korszerűsítése</t>
  </si>
  <si>
    <t xml:space="preserve">TOP-6.5.1-16-DE1-2017-00010 A Debreceni Arany János Óvoda épületének energetikai korszerűsítése </t>
  </si>
  <si>
    <t>TOP-6.5.1-16-DE1-2017-00011  A Debreceni Dózsa György Általános Iskola épületének energetikai korszerűsítése</t>
  </si>
  <si>
    <t>TOP-6.6.1-16-DE1-2017-00001 A Sas utcai háziorvosi rendelő infrastrukturális fejlesztése</t>
  </si>
  <si>
    <t>TOP-6.6.1-16-DE1-2017-00002 Az Epreskert utcai háziorvosi rendelő infrastrukturális fejlesztése</t>
  </si>
  <si>
    <t>TOP-6.6.1-16-DE1-2017-00003 A Darabos utcai háziorvosi rendelő infrastrukturális fejlesztése</t>
  </si>
  <si>
    <t>TOP-6.6.2-15 Szociális alapszolgáltatások infrastruktúrájának fejlesztése</t>
  </si>
  <si>
    <t>TOP-6.6.2-16 Szociális alapszolgáltatások infrastruktúrájának fejlesztése</t>
  </si>
  <si>
    <t>TOP-6.7.1-16 Megyei Jogú Városok leromlott városi területeinek rehabilitációja</t>
  </si>
  <si>
    <t>Turisztikai programok</t>
  </si>
  <si>
    <t>Debreceni állatkert és vidámpark turisztikai fejlesztése (P2)</t>
  </si>
  <si>
    <t>Egyéb pályázati forrásból megvalósuló beruházások</t>
  </si>
  <si>
    <t>I. világháborús mauzóleumok felújítása</t>
  </si>
  <si>
    <t>Vojtina Bábszínház tető felújítása</t>
  </si>
  <si>
    <t>Pallagi úti mélygarázs állagmegóvási munkái</t>
  </si>
  <si>
    <t>Tégláskerti orvosi rendelő felújítása</t>
  </si>
  <si>
    <t>Debreceni egyesített bölcsődei intézmény fejlesztésének előkészítése</t>
  </si>
  <si>
    <t>Fedett utasvárók kihelyezése</t>
  </si>
  <si>
    <t>Létai- Vámospércsi u. csomópont felújítás</t>
  </si>
  <si>
    <t>Építészeti-Műszaki Tervtanács működtetése (személyi kifizetések és reprezentáció)</t>
  </si>
  <si>
    <t>Kiemelkedő tevékenységek és kiemelt városi rendezvények támogatása és járuléka</t>
  </si>
  <si>
    <t>21.3.2</t>
  </si>
  <si>
    <t>Városrendezési tervek elkészítéséhez szükséges költségek, igazgatási szolgáltatási díjak, tervek vásárlása</t>
  </si>
  <si>
    <t>Nagyfelületű út- és járdafelújítás</t>
  </si>
  <si>
    <t>23.1.18</t>
  </si>
  <si>
    <t>16.2.3.7</t>
  </si>
  <si>
    <t xml:space="preserve">Debrecen-Hortobágy Turizmusáért Egyesület </t>
  </si>
  <si>
    <t>Interreg Europe - Kreatív miliő projekt</t>
  </si>
  <si>
    <t>16.1.1.2</t>
  </si>
  <si>
    <t>Gyermek, Ifjúsági és KEF pályázatok</t>
  </si>
  <si>
    <t>Rendezvények utáni kézi takarítás és hulladékgyűjtés</t>
  </si>
  <si>
    <t>Intézmények játszótéri eszközök beszerzése</t>
  </si>
  <si>
    <t>Intézmények és orvosi rendelők felújítása</t>
  </si>
  <si>
    <t>TOP-6.3.3-15-DE1-2016-00001 Debrecen, keleti városrész csapadékvíz elvezetése</t>
  </si>
  <si>
    <t>VP6-7.2.1-7.4.1.2-16 Külterületi helyi közutak fejlesztése és munkagép beszerzése pályázat (Felsőpércsi út)</t>
  </si>
  <si>
    <t>Nyugati kiskörút I.-II. ütem</t>
  </si>
  <si>
    <t>TOP-6.3.2.-16-DE1-2017-00001 "A Sóház gazdaságélénkítő környezeti megújítása"</t>
  </si>
  <si>
    <t>TOP-6.3.2.-16-DE1-2017-00002 "A Tócóskert gazdaságélénkítő környezeti megújítása"</t>
  </si>
  <si>
    <t>TOP-6.3.2.-16-DE1-2017-00003 "A Petőfi tér rekonstrukciója"</t>
  </si>
  <si>
    <t>TOP-6.3.2.-16-DE1-2017-00004 "A Tócóvölgy gazdaságélénkítő környezeti megújítása"</t>
  </si>
  <si>
    <t>TOP-6.3.2.-16-DE1-2017-00005 "A Bem tér gazdaságélénkítő környezeti megújítása"</t>
  </si>
  <si>
    <t>3.2.14</t>
  </si>
  <si>
    <t>Főtéri rendezvények kiszolgálásához áramvételezési lehetőség kialakítása</t>
  </si>
  <si>
    <t>Műtárgyak javítása</t>
  </si>
  <si>
    <t>Nem közművel összegyűjtött háztartási szennyvíz ártalmatlanítás</t>
  </si>
  <si>
    <t>4.1.7</t>
  </si>
  <si>
    <t>4.1.12</t>
  </si>
  <si>
    <t>4.1.13</t>
  </si>
  <si>
    <t>4.1.14</t>
  </si>
  <si>
    <t>Szabványos játszóterek időszakos ellenőrzése az ellenőrzött eszközök előírt  kötelező javítása 
(MSZ-EN szabványos játszóterek időszakos TÜV ellenőrzése)</t>
  </si>
  <si>
    <t>Előre nem tervezett parkfenntartási és rendezvényi feladatok</t>
  </si>
  <si>
    <t>12.2.5</t>
  </si>
  <si>
    <t>11.2.3</t>
  </si>
  <si>
    <t>11.1.2</t>
  </si>
  <si>
    <t>Széna tér zöldterületi fejlesztése</t>
  </si>
  <si>
    <t>Belváros Barna utcai park rekonstrukciója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</si>
  <si>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</si>
  <si>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</si>
  <si>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</si>
  <si>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</si>
  <si>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</si>
  <si>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</si>
  <si>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</si>
  <si>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</si>
  <si>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</si>
  <si>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</si>
  <si>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</si>
  <si>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</si>
  <si>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1.1.2.</t>
  </si>
  <si>
    <t>1.1.3.</t>
  </si>
  <si>
    <t>1.1.3</t>
  </si>
  <si>
    <t>2018.</t>
  </si>
  <si>
    <t>DEAC Sport Nonprofit Közhasznú Kft. támogatása</t>
  </si>
  <si>
    <t>DVSC Kézilabda Kft. támogatása</t>
  </si>
  <si>
    <t>Agóra Közhasznú Nonprofit Kft. támogatása</t>
  </si>
  <si>
    <t>Modem Modern Debreceni Nonprofit Kft. támogatása</t>
  </si>
  <si>
    <t>Zsuzsi Erdei Vasút Nonprofit Kft. támogatása</t>
  </si>
  <si>
    <t>Debreceni Nagyerdei Stadion-üzemeltető Kft. támogatása</t>
  </si>
  <si>
    <t>Nemzetközi és utánpótlásversenyek</t>
  </si>
  <si>
    <t>Pallagi úti Idősek Háza felújítása</t>
  </si>
  <si>
    <t>Közfoglalkoztatottak egyéb feladataihoz szükséges beszerzések támogatása</t>
  </si>
  <si>
    <t>TOP-6.3.3-15-DE1-2016-00002 Nagysándor telep- Vulkántelep és Fészek lakópark (Téglagyár városrész) csapadékvíz elvezetése</t>
  </si>
  <si>
    <t>TOP-6.4.1-15-DE1-2016-00006 Keleti városrész forgalomszervezése és kerékpárút kialakítása</t>
  </si>
  <si>
    <t>EFOP-1.9.9-17-2017-00009
Bölcsődei szakemberek szakmai fejlesztése Debrecenben</t>
  </si>
  <si>
    <t>Előző költségvetési éveket érintő visszatérítések, visszafizetések</t>
  </si>
  <si>
    <t>(1. oldal)</t>
  </si>
  <si>
    <t>(2. oldal)</t>
  </si>
  <si>
    <r>
      <rPr>
        <b/>
        <u val="single"/>
        <sz val="10"/>
        <rFont val="Arial"/>
        <family val="2"/>
      </rPr>
      <t>*Megjegyzés</t>
    </r>
    <r>
      <rPr>
        <sz val="10"/>
        <rFont val="Arial"/>
        <family val="2"/>
      </rPr>
      <t>: a hosszú lejáratú hitelek tőketörlesztése az Áhsz. rendelkezései értelmében finanszírozási kiadásnak minősül, ezért az "Önkormányzat finanszírozási kiadásai" elnevezésű 7. mellékletben került megtervezésre.</t>
    </r>
  </si>
  <si>
    <t>Magyar Református Szeretetszolgálat Közhasznú Alapítvány támogatása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</si>
  <si>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</si>
  <si>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</si>
  <si>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</si>
  <si>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</si>
  <si>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</si>
  <si>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</si>
  <si>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</si>
  <si>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</si>
  <si>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</si>
  <si>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</si>
  <si>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</si>
  <si>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</si>
  <si>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</si>
  <si>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</si>
  <si>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</si>
  <si>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</si>
  <si>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</si>
  <si>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</si>
  <si>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</si>
  <si>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</si>
  <si>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</si>
  <si>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</si>
  <si>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</si>
  <si>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</si>
  <si>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</si>
  <si>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</si>
  <si>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</si>
  <si>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</si>
  <si>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</si>
  <si>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</si>
  <si>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</si>
  <si>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</si>
  <si>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</si>
  <si>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5.2.34</t>
  </si>
  <si>
    <t>5.2.35</t>
  </si>
  <si>
    <t>5.2.36</t>
  </si>
  <si>
    <t>5.2.37</t>
  </si>
  <si>
    <t>5.2.38</t>
  </si>
  <si>
    <t>5.2.39</t>
  </si>
  <si>
    <t>5.2.40</t>
  </si>
  <si>
    <t>5.2.41</t>
  </si>
  <si>
    <t>5.2.42</t>
  </si>
  <si>
    <t>5.2.43</t>
  </si>
  <si>
    <t>5.2.44</t>
  </si>
  <si>
    <t>5.2.45</t>
  </si>
  <si>
    <t>5.2.46</t>
  </si>
  <si>
    <t>5.2.47</t>
  </si>
  <si>
    <t>5.2.48</t>
  </si>
  <si>
    <t>5.2.49</t>
  </si>
  <si>
    <t>5.2.50</t>
  </si>
  <si>
    <t>5.2.51</t>
  </si>
  <si>
    <t>5.2.52</t>
  </si>
  <si>
    <t>5.2.53</t>
  </si>
  <si>
    <t>5.2.54</t>
  </si>
  <si>
    <t>5.2.55</t>
  </si>
  <si>
    <t>5.2.56</t>
  </si>
  <si>
    <t>5.2.57</t>
  </si>
  <si>
    <t>5.2.58</t>
  </si>
  <si>
    <t>5.2.59</t>
  </si>
  <si>
    <t>5.2.60</t>
  </si>
  <si>
    <t>5.2.61</t>
  </si>
  <si>
    <t>5.2.62</t>
  </si>
  <si>
    <t>5.2.63</t>
  </si>
  <si>
    <t>5.2.64</t>
  </si>
  <si>
    <t>5.2.65</t>
  </si>
  <si>
    <t>5.2.66</t>
  </si>
  <si>
    <t>5.2.67</t>
  </si>
  <si>
    <t>5.2.68</t>
  </si>
  <si>
    <t>5.2.69</t>
  </si>
  <si>
    <t>5.2.70</t>
  </si>
  <si>
    <t>5.2.71</t>
  </si>
  <si>
    <t>5.2.72</t>
  </si>
  <si>
    <t>5.2.73</t>
  </si>
  <si>
    <t>5.2.74</t>
  </si>
  <si>
    <t>5.2.75</t>
  </si>
  <si>
    <t>5.2.76</t>
  </si>
  <si>
    <t>5.2.77</t>
  </si>
  <si>
    <t>5.2.78</t>
  </si>
  <si>
    <t>5.2.79</t>
  </si>
  <si>
    <t>5.2.80</t>
  </si>
  <si>
    <t>5.2.81</t>
  </si>
  <si>
    <t>5.2.82</t>
  </si>
  <si>
    <t>5.2.83</t>
  </si>
  <si>
    <t>5.2.84</t>
  </si>
  <si>
    <t>5.2.85</t>
  </si>
  <si>
    <t>5.2.86</t>
  </si>
  <si>
    <t>5.2.87</t>
  </si>
  <si>
    <t>5.2.88</t>
  </si>
  <si>
    <t>5.2.89</t>
  </si>
  <si>
    <t>5.2.90</t>
  </si>
  <si>
    <t>5.2.91</t>
  </si>
  <si>
    <t>5.2.92</t>
  </si>
  <si>
    <t>5.2.93</t>
  </si>
  <si>
    <t>5.2.94</t>
  </si>
  <si>
    <t>5.2.95</t>
  </si>
  <si>
    <t>5.2.96</t>
  </si>
  <si>
    <t>5.2.97</t>
  </si>
  <si>
    <t>5.2.98</t>
  </si>
  <si>
    <t>5.2.99</t>
  </si>
  <si>
    <t>5.2.100</t>
  </si>
  <si>
    <t>5.2.101</t>
  </si>
  <si>
    <t>5.2.102</t>
  </si>
  <si>
    <t>5.2.103</t>
  </si>
  <si>
    <t>5.2.104</t>
  </si>
  <si>
    <t>5.2.105</t>
  </si>
  <si>
    <t>5.2.106</t>
  </si>
  <si>
    <t>5.2.107</t>
  </si>
  <si>
    <t>5.2.108</t>
  </si>
  <si>
    <t>5.2.109</t>
  </si>
  <si>
    <t>5.2.110</t>
  </si>
  <si>
    <t>5.2.111</t>
  </si>
  <si>
    <t>5.2.112</t>
  </si>
  <si>
    <t>5.2.113</t>
  </si>
  <si>
    <t>5.2.114</t>
  </si>
  <si>
    <t>5.2.115</t>
  </si>
  <si>
    <t>5.2.116</t>
  </si>
  <si>
    <t>5.2.117</t>
  </si>
  <si>
    <t>5.2.118</t>
  </si>
  <si>
    <t>5.2.119</t>
  </si>
  <si>
    <t>5.2.120</t>
  </si>
  <si>
    <t>5.2.121</t>
  </si>
  <si>
    <t>5.2.122</t>
  </si>
  <si>
    <t>5.2.123</t>
  </si>
  <si>
    <t>5.2.124</t>
  </si>
  <si>
    <t>5.2.125</t>
  </si>
  <si>
    <t>5.2.126</t>
  </si>
  <si>
    <t>TOP-6.1.4-16-DE1-2017-00001 Turisztikai attrakciófejlesztés a Debreceni Zsidó Hitközség székházában</t>
  </si>
  <si>
    <t>TOP-6.1.4-16-DE1-2017-00002  „Hit és Kultúra” Attila téri görögkatolikus turisztikai látogatóközpont létrehozása</t>
  </si>
  <si>
    <t>Vásáry Tamás Alapítvány támogatása</t>
  </si>
  <si>
    <t>Családok Átmeneti Otthona Mester u 30.</t>
  </si>
  <si>
    <t>(5. melléklet 15. cím részletezése)</t>
  </si>
  <si>
    <t>Kisebbségekért Pro Minoritate Alapítvány támogatása</t>
  </si>
  <si>
    <t>5.2.127</t>
  </si>
  <si>
    <t>Észak-Nyugati Gazdasági Övezet kialakításának, közművesítésének és elérhetőségének javításához szükséges  kiadások</t>
  </si>
  <si>
    <t>24.1.19</t>
  </si>
  <si>
    <t>Észak-Nyugati Gazdasági Övezet kialakításához, fejlesztéséhez kapcsolódó területszerzések és régészet</t>
  </si>
  <si>
    <t>1.1.4</t>
  </si>
  <si>
    <t>Hitelszerződés száma</t>
  </si>
  <si>
    <t>1-2-18-3800-0368-4</t>
  </si>
  <si>
    <t>Adósságot keletkeztető ügylet megnevezése</t>
  </si>
  <si>
    <t>OTP Bank Nyrt. (2,5 mrd Ft hitel)</t>
  </si>
  <si>
    <t>Debrecen Nagycsere és Haláp településrészei ivóvíz hálózatának fejlesztése</t>
  </si>
  <si>
    <t>KÖFOP-1.2.1-VEKOP-16-2017-01051 Debrecen Megyei Jogú Város Önkormányzata ASP Központhoz való csatlakozása</t>
  </si>
  <si>
    <t>23.1.19</t>
  </si>
  <si>
    <t>1.1.4.</t>
  </si>
  <si>
    <t>2019. évi eredeti előirányzat összege</t>
  </si>
  <si>
    <t>Tőketörlesztés 2019. évben*</t>
  </si>
  <si>
    <t>Bírósági végzés alapján kártérítési járadék fizetése</t>
  </si>
  <si>
    <t>Debreceni Egyetem egészségügyi szolgáltatója által nyújtott egészségügyi szolgáltatás - a szervezett anyatejgyűjtés - biztosítására</t>
  </si>
  <si>
    <t>Háziorvosi alapellátáshoz kapcsolódó készenléti szolgáltat biztosítása</t>
  </si>
  <si>
    <t>Gyógyhelyadatok aktualizálása</t>
  </si>
  <si>
    <t>Ellátási szerződések az önkormányzat által kötelezően ellátandó szociális és gyermekjóléti feladatokra</t>
  </si>
  <si>
    <t>A szociális és gyermekjóléti intézmények szolgáltatótól nyilvántartásba történő bejegyzéséhez, az adatok módosításához, hatósági eljárásokhoz kapcsolódó kiadások</t>
  </si>
  <si>
    <t>Debreceni Egyetem Klinikai Központ Gyermekgyógyászati klinikáján tartós gyógykezelés alatt álló gyermekek tankötelezettségének támogatása</t>
  </si>
  <si>
    <t>Debreceni Egyetem Egészségügyi szolgáltatója által nyújtott egészségügyi alapellátás biztosítása</t>
  </si>
  <si>
    <t>10.1.7</t>
  </si>
  <si>
    <t>16.1.1.12</t>
  </si>
  <si>
    <t>16.1.1.13</t>
  </si>
  <si>
    <t>Téli rezsicsökkentés szállítással</t>
  </si>
  <si>
    <t>Eseti, időszaki, nevelési támogatás</t>
  </si>
  <si>
    <t>18/ISF/P49665/BER</t>
  </si>
  <si>
    <t>Erste Bank Hungary Zrt.</t>
  </si>
  <si>
    <t>Erste Bank Hungary Zrt. (44 mrd Ft  hitel)</t>
  </si>
  <si>
    <t>Bocskai István ökölvívó emlékverseny 2019</t>
  </si>
  <si>
    <t>16.2.3.8</t>
  </si>
  <si>
    <t>Debrecen, Észak-Nyugati Gazdasági Övezet (ÉNYGÖ) ipari területre vonatkozó településszerkezeti terv, illetve helyi építési szabályzat és szabályozási terv módosításához szükséges alátámasztó munkarészek átvétele a Debreceni Infrastruktúra Fejlesztő Kft-től</t>
  </si>
  <si>
    <t>Irodalmi és történelmi emlékév</t>
  </si>
  <si>
    <t>Debreceni Hajdú Néptáncegyüttes  Alapítvány támogatása</t>
  </si>
  <si>
    <t xml:space="preserve">Kiadványok és debreceni programajánló, online felület üzemeltetésének támogatása </t>
  </si>
  <si>
    <t>Káplár Miklós Nemzetközi Alkotótábor támogatása (Hortobágyi Nemzetközi Művésztelep)</t>
  </si>
  <si>
    <t>16.2.2.7</t>
  </si>
  <si>
    <t>Helyi közösségi közlekedés 2019. évi állami támogatása</t>
  </si>
  <si>
    <t>Helyi közösségi közlekedés 2019. évi állami támogatásához kapcsolódó önkormányzati önrész és egyéb támogatás</t>
  </si>
  <si>
    <t>DKV Zrt. veszteség kompenzációja</t>
  </si>
  <si>
    <t>27.1.11</t>
  </si>
  <si>
    <t>15.1.16</t>
  </si>
  <si>
    <t>Debreceni Sportcentrum Kft. 
"Hiszek benned" sportprogram</t>
  </si>
  <si>
    <t>12.2.6</t>
  </si>
  <si>
    <t>Lépcső felújítás</t>
  </si>
  <si>
    <t>Polgárvédelmi szirénák felújítása</t>
  </si>
  <si>
    <t>5.2.128</t>
  </si>
  <si>
    <t>5.2.129</t>
  </si>
  <si>
    <t>5.2.130</t>
  </si>
  <si>
    <t>5.2.131</t>
  </si>
  <si>
    <t>Kossuth utca 16. sz. beépítési terve</t>
  </si>
  <si>
    <t>Szent Anna 11. sz. alatti műemlék épület tetőfelújítás</t>
  </si>
  <si>
    <t>Kassai út 115. orvosi rendelő és védőnői szolgálat felújítása</t>
  </si>
  <si>
    <t>Elektromos gépjárművek beszerzése</t>
  </si>
  <si>
    <t>Pallagi kézilabda munkacsarnok kapcsán parkolóépítések, útépítések és a közművek kapacitásbővítő beavatkozásainak megtervezése</t>
  </si>
  <si>
    <t>Nagymacs közösségi ház külső világítás kialakítása</t>
  </si>
  <si>
    <t>Varázserdő-Debrecen Nagyerdő projekt</t>
  </si>
  <si>
    <t>3.2.15</t>
  </si>
  <si>
    <t>Elektromos töltőállomások üzemeltetése</t>
  </si>
  <si>
    <t>3.2.16</t>
  </si>
  <si>
    <t>Városüzemeltetési feladatokhoz kapcsolódó egyéb kiadások</t>
  </si>
  <si>
    <t xml:space="preserve">Nagyerdő 2019 program </t>
  </si>
  <si>
    <t>Városi gyep területek felújítása</t>
  </si>
  <si>
    <t>Bevezető út program</t>
  </si>
  <si>
    <t>Körutak zöldfelület fejlesztés</t>
  </si>
  <si>
    <t>Hulladékgyűjtők, padok beszerzése</t>
  </si>
  <si>
    <t>DEHUSZ Nonprofit Kft. közterületi feladataihoz szükséges beszerzéseinek támogatása</t>
  </si>
  <si>
    <t>Debrecen közterületein található nyárfa állomány rekonstrukciója (Akadémiakert)</t>
  </si>
  <si>
    <t>4.2.23</t>
  </si>
  <si>
    <t>Kossuth tér - Jubileumi virágkarnevál virágkiültetés</t>
  </si>
  <si>
    <t>4.2.24</t>
  </si>
  <si>
    <t>Szent István szobor megalkotása</t>
  </si>
  <si>
    <t>4.2.25</t>
  </si>
  <si>
    <t>Játszóeszközök felújítása, új játszóterek építése</t>
  </si>
  <si>
    <t>4.2.26</t>
  </si>
  <si>
    <t>Játszóterek, közösségi terek körbekerítése</t>
  </si>
  <si>
    <t>4.2.27</t>
  </si>
  <si>
    <t>4.2.28</t>
  </si>
  <si>
    <t>4.2.29</t>
  </si>
  <si>
    <t>56-os kopjafa temető emlékmű és környezetének rekonstrukciója</t>
  </si>
  <si>
    <t>4.2.30</t>
  </si>
  <si>
    <t>Új kutyafuttató kialakítása (Kassai út 115.-125.)</t>
  </si>
  <si>
    <t>Zöldterületi feladatokhoz kapcsolódó egyéb kiadások</t>
  </si>
  <si>
    <t>Nagymacs közösségi faültetés</t>
  </si>
  <si>
    <t>23.1.20</t>
  </si>
  <si>
    <t>Konténer bölcsőde létesítése</t>
  </si>
  <si>
    <t>Lakossági kezdeményezéssel megvalósuló út és közműépítés 2020. évi előkészítése</t>
  </si>
  <si>
    <t>Bérkompenzáció 2018. évi elszámolása</t>
  </si>
  <si>
    <t>Bérkompenzáció 2018. évről áthúzódó támogatása</t>
  </si>
  <si>
    <t>Bérkompenzáció 2019. évi különbözete</t>
  </si>
  <si>
    <t>Debreceni Labdarúgó Akadémia  Nonprofit Kft. támogatása és TAO támogatás önrésze</t>
  </si>
  <si>
    <t>DLA Utánpótlás Nevelő Nonprofit Kft. támogatása és TAO támogatás önrésze</t>
  </si>
  <si>
    <t xml:space="preserve">Debreceni Ingatlanfejlesztő Kft. támogatása </t>
  </si>
  <si>
    <t>Debreceni Infrastruktúra Fejlesztő Kft. támogatása</t>
  </si>
  <si>
    <t>DENOK Közhasznú Nonprofit Kft. támogatása</t>
  </si>
  <si>
    <t>Bakator Bor-és Gasztrofesztivál</t>
  </si>
  <si>
    <t xml:space="preserve">Salánkért Alapítvány támogatása </t>
  </si>
  <si>
    <t xml:space="preserve">EUROCITIES tagság </t>
  </si>
  <si>
    <t>Illegális hulladéklerakók felszámolása a kertségekben</t>
  </si>
  <si>
    <t>Latinovits Színház belső kialakítása ROHU343 CBC Incubator</t>
  </si>
  <si>
    <t>Latinovits Színház belső kialakítása ROHU344 EduCultCentre</t>
  </si>
  <si>
    <t>Költségvetési szervek közfoglalkoztatás támogatása</t>
  </si>
  <si>
    <t>7.2.7</t>
  </si>
  <si>
    <t>Szent István szobor alapzata</t>
  </si>
  <si>
    <t>Tiszántúli Református Egyházkerület támogatása</t>
  </si>
  <si>
    <t>Debreceni Szent István Plébánia és Egyházközség támogatása</t>
  </si>
  <si>
    <t>15.1.16.1</t>
  </si>
  <si>
    <t>15.1.16.2</t>
  </si>
  <si>
    <t>15.1.16.3</t>
  </si>
  <si>
    <t>15.1.16.4</t>
  </si>
  <si>
    <t>15.1.16.5</t>
  </si>
  <si>
    <t>15.1.16.6</t>
  </si>
  <si>
    <t>15.1.16.7</t>
  </si>
  <si>
    <t>15.1.16.8</t>
  </si>
  <si>
    <t>15.1.16.9</t>
  </si>
  <si>
    <t>15.1.17</t>
  </si>
  <si>
    <t>15.1.18</t>
  </si>
  <si>
    <t>15.1.19</t>
  </si>
  <si>
    <t>24.1.8</t>
  </si>
  <si>
    <t>Debrecen Turisztikai Ügynökség Közhasznú Nonprofit Kft. támogatása</t>
  </si>
  <si>
    <t>Postaköltség</t>
  </si>
  <si>
    <t>TOP-6.2.1-16 Családbarát, munkába állást segítő intézmények közszolgáltatások fejlesztése</t>
  </si>
  <si>
    <t>Kossuth téri nyilvános WC utólagos szigetelése felújítása</t>
  </si>
  <si>
    <t>TOP-6.1.2-16-DE1-2017-00001 Debrecen Inkubációs központ</t>
  </si>
  <si>
    <t>TOP-6.1.5-16-DE1-2017-00004 Egyetemi Innovációs Park elérhetőségének javítása</t>
  </si>
  <si>
    <t xml:space="preserve"> TOP-6.2.1-16-DE1-2017-00004  Eszközök beszerzése DMJV Egyesített Bölcsődei Intézménye több tagintézményében</t>
  </si>
  <si>
    <t>TOP-6.2.1-16-DE1-2017-00005 Új bölcsőde létesítése a Postakert városrészen</t>
  </si>
  <si>
    <t>TOP-6.6.1-15 Egészségügyi alapellátás infrastrukturális fejlesztése</t>
  </si>
  <si>
    <t>TOP-6.6.1-16 Egészségügyi alapellátás infrastrukturális fejlesztése</t>
  </si>
  <si>
    <t xml:space="preserve">TOP-6.7.1-16-DE1-2017-00001 Szociális városrehabilitáció a Nagysándortelep-Vulkántelepen </t>
  </si>
  <si>
    <t>Laktanya u. felújítási pályázat</t>
  </si>
  <si>
    <t>Pallagi úti labdarúgó bázis műfüves pálya lefedése, pályázati önrész</t>
  </si>
  <si>
    <t>Ovi-Sport program</t>
  </si>
  <si>
    <t>TOP-6.2.1-15 Családbarát, munkába állást segítő intézmények közszolgáltatások fejlesztése</t>
  </si>
  <si>
    <t>21.1.24</t>
  </si>
  <si>
    <t>Észak-Nyugati Gazdasági Övezet kialakításával kapcsolatos kiadások (tartalék)</t>
  </si>
  <si>
    <t>Észak-Nyugati Gazdasági Övezet kialakításához területszerzés csere</t>
  </si>
  <si>
    <t>Római Katolikus Egyház támogatása</t>
  </si>
  <si>
    <t>Tarpa Sport Club támogatása</t>
  </si>
  <si>
    <t>Salakmotor sportág támogatása</t>
  </si>
  <si>
    <t>Több külterületi telephellyel rendelkező háziorvosi, házi gyermekorvosi szolgáltató számára a rendelő üzemeltetési költségeinek támogatása</t>
  </si>
  <si>
    <t>Településrendezési- és Tervezési szerződésekhez kapcsolódó- Hajdú-Bihar Megyei Kormányhivatal Debreceni Járási Hivatal Járási Földhivatala részére fizetendő településrendezési kötelezettségek ingatlan-nyilvántartási bejegyzéseinek és törléseinek igazgatási szolgáltatási díjai</t>
  </si>
  <si>
    <t>TOP-6.5.1-15-DE1-2016-00018 A Honvéd utcai bölcsőde épületének energetikai korszerűsítése</t>
  </si>
  <si>
    <t>Simonffy utca 21. Ifjúsági Ház pince utólagos vízszigetelése</t>
  </si>
  <si>
    <t>Nemzetközi iskola kötelező erdőtelepítése</t>
  </si>
  <si>
    <t>"TTP-KP-1-2017/1-000156 Bethlen Gábor Alap-Debrecen és Salánk kapcsolatépítése</t>
  </si>
  <si>
    <t>ASP részletező kód</t>
  </si>
  <si>
    <t>52201</t>
  </si>
  <si>
    <t>52202</t>
  </si>
  <si>
    <t>52203</t>
  </si>
  <si>
    <t>52204</t>
  </si>
  <si>
    <t>52205</t>
  </si>
  <si>
    <t>52206</t>
  </si>
  <si>
    <t>52207</t>
  </si>
  <si>
    <t>52208</t>
  </si>
  <si>
    <t>52209</t>
  </si>
  <si>
    <t>52210</t>
  </si>
  <si>
    <t>52211</t>
  </si>
  <si>
    <t>52212</t>
  </si>
  <si>
    <t>52213</t>
  </si>
  <si>
    <t>52214</t>
  </si>
  <si>
    <t>52215</t>
  </si>
  <si>
    <t>52216</t>
  </si>
  <si>
    <t>52217</t>
  </si>
  <si>
    <t>52218</t>
  </si>
  <si>
    <t>52219</t>
  </si>
  <si>
    <t>52220</t>
  </si>
  <si>
    <t>52221</t>
  </si>
  <si>
    <t>52222</t>
  </si>
  <si>
    <t>52301</t>
  </si>
  <si>
    <t>52302</t>
  </si>
  <si>
    <t>52303</t>
  </si>
  <si>
    <t>52304</t>
  </si>
  <si>
    <t>52305</t>
  </si>
  <si>
    <t>52306</t>
  </si>
  <si>
    <t>52307</t>
  </si>
  <si>
    <t>52308</t>
  </si>
  <si>
    <t>52309</t>
  </si>
  <si>
    <t>52310</t>
  </si>
  <si>
    <t>52311</t>
  </si>
  <si>
    <t>52312</t>
  </si>
  <si>
    <t>52313</t>
  </si>
  <si>
    <t>52314</t>
  </si>
  <si>
    <t>52315</t>
  </si>
  <si>
    <t>52501</t>
  </si>
  <si>
    <t>52502</t>
  </si>
  <si>
    <t>52503</t>
  </si>
  <si>
    <t>52504</t>
  </si>
  <si>
    <t>52505</t>
  </si>
  <si>
    <t>52506</t>
  </si>
  <si>
    <t>52507</t>
  </si>
  <si>
    <t>52508</t>
  </si>
  <si>
    <t>52509</t>
  </si>
  <si>
    <t>52510</t>
  </si>
  <si>
    <t>52511</t>
  </si>
  <si>
    <t>52512</t>
  </si>
  <si>
    <t>52513</t>
  </si>
  <si>
    <t>52514</t>
  </si>
  <si>
    <t>52601</t>
  </si>
  <si>
    <t>52602</t>
  </si>
  <si>
    <t>52603</t>
  </si>
  <si>
    <t>52604</t>
  </si>
  <si>
    <t>52605</t>
  </si>
  <si>
    <t>52606</t>
  </si>
  <si>
    <t>52608</t>
  </si>
  <si>
    <t>52609</t>
  </si>
  <si>
    <t>52611</t>
  </si>
  <si>
    <t>52612</t>
  </si>
  <si>
    <t>52614</t>
  </si>
  <si>
    <t>52615</t>
  </si>
  <si>
    <t>52616</t>
  </si>
  <si>
    <t>52618</t>
  </si>
  <si>
    <t>52619</t>
  </si>
  <si>
    <t>52620</t>
  </si>
  <si>
    <t>52621</t>
  </si>
  <si>
    <t>52622</t>
  </si>
  <si>
    <t>52623</t>
  </si>
  <si>
    <t>542001</t>
  </si>
  <si>
    <t>542120</t>
  </si>
  <si>
    <t>542121</t>
  </si>
  <si>
    <t>542123</t>
  </si>
  <si>
    <t>542124</t>
  </si>
  <si>
    <t>542125</t>
  </si>
  <si>
    <t>542126</t>
  </si>
  <si>
    <t>542127</t>
  </si>
  <si>
    <t>54101</t>
  </si>
  <si>
    <t>54102</t>
  </si>
  <si>
    <t>54103</t>
  </si>
  <si>
    <t>54104</t>
  </si>
  <si>
    <t>54105</t>
  </si>
  <si>
    <t>54106</t>
  </si>
  <si>
    <t>54107</t>
  </si>
  <si>
    <t>54111</t>
  </si>
  <si>
    <t>54121</t>
  </si>
  <si>
    <t>54122</t>
  </si>
  <si>
    <t>54123</t>
  </si>
  <si>
    <t>54124</t>
  </si>
  <si>
    <t>53501</t>
  </si>
  <si>
    <t>53502</t>
  </si>
  <si>
    <t>53503</t>
  </si>
  <si>
    <t>53504</t>
  </si>
  <si>
    <t>53505</t>
  </si>
  <si>
    <t>53506</t>
  </si>
  <si>
    <t>53507</t>
  </si>
  <si>
    <t>53508</t>
  </si>
  <si>
    <t>53509</t>
  </si>
  <si>
    <t>53510</t>
  </si>
  <si>
    <t>53511</t>
  </si>
  <si>
    <t>53513</t>
  </si>
  <si>
    <t>53515</t>
  </si>
  <si>
    <t>53516</t>
  </si>
  <si>
    <t>53517</t>
  </si>
  <si>
    <t>53519</t>
  </si>
  <si>
    <t>53520</t>
  </si>
  <si>
    <t>53521</t>
  </si>
  <si>
    <t>53522</t>
  </si>
  <si>
    <t>53523</t>
  </si>
  <si>
    <t>53524</t>
  </si>
  <si>
    <t>53525</t>
  </si>
  <si>
    <t>53526</t>
  </si>
  <si>
    <t>53527</t>
  </si>
  <si>
    <t>53528</t>
  </si>
  <si>
    <t>54311</t>
  </si>
  <si>
    <t>54312</t>
  </si>
  <si>
    <t>54313</t>
  </si>
  <si>
    <t>54314</t>
  </si>
  <si>
    <t>54315</t>
  </si>
  <si>
    <t>54316</t>
  </si>
  <si>
    <t>54321</t>
  </si>
  <si>
    <t>54322</t>
  </si>
  <si>
    <t>54323</t>
  </si>
  <si>
    <t>54325</t>
  </si>
  <si>
    <t>54327</t>
  </si>
  <si>
    <t>54401</t>
  </si>
  <si>
    <t>54402</t>
  </si>
  <si>
    <t>54403</t>
  </si>
  <si>
    <t>54404</t>
  </si>
  <si>
    <t>54405</t>
  </si>
  <si>
    <t>54411</t>
  </si>
  <si>
    <t>54412</t>
  </si>
  <si>
    <t>54413</t>
  </si>
  <si>
    <t>55021</t>
  </si>
  <si>
    <t>55022</t>
  </si>
  <si>
    <t>55024</t>
  </si>
  <si>
    <t>55031</t>
  </si>
  <si>
    <t>55032</t>
  </si>
  <si>
    <t>55033</t>
  </si>
  <si>
    <t>55034</t>
  </si>
  <si>
    <t>55221</t>
  </si>
  <si>
    <t>55222</t>
  </si>
  <si>
    <t>55223</t>
  </si>
  <si>
    <t>55104</t>
  </si>
  <si>
    <t>56101</t>
  </si>
  <si>
    <t>56102</t>
  </si>
  <si>
    <t>56103</t>
  </si>
  <si>
    <t>56104</t>
  </si>
  <si>
    <t>56105</t>
  </si>
  <si>
    <t>56106</t>
  </si>
  <si>
    <t>56107</t>
  </si>
  <si>
    <t>56108</t>
  </si>
  <si>
    <t>56109</t>
  </si>
  <si>
    <t>56110</t>
  </si>
  <si>
    <t>56111</t>
  </si>
  <si>
    <t>56121</t>
  </si>
  <si>
    <t>56122</t>
  </si>
  <si>
    <t>56123</t>
  </si>
  <si>
    <t>56124</t>
  </si>
  <si>
    <t>56125</t>
  </si>
  <si>
    <t>56126</t>
  </si>
  <si>
    <t>56127</t>
  </si>
  <si>
    <t>56128</t>
  </si>
  <si>
    <t>56131</t>
  </si>
  <si>
    <t>57001</t>
  </si>
  <si>
    <t>57002</t>
  </si>
  <si>
    <t>57003</t>
  </si>
  <si>
    <t>57004</t>
  </si>
  <si>
    <t>57006</t>
  </si>
  <si>
    <t>57007</t>
  </si>
  <si>
    <t>57009</t>
  </si>
  <si>
    <t>57010</t>
  </si>
  <si>
    <t>57011</t>
  </si>
  <si>
    <t>57102</t>
  </si>
  <si>
    <t>57103</t>
  </si>
  <si>
    <t>57104</t>
  </si>
  <si>
    <t>57105</t>
  </si>
  <si>
    <t>57106</t>
  </si>
  <si>
    <t>57107</t>
  </si>
  <si>
    <t>57108</t>
  </si>
  <si>
    <t>57201</t>
  </si>
  <si>
    <t>57202</t>
  </si>
  <si>
    <t>57203</t>
  </si>
  <si>
    <t>57204</t>
  </si>
  <si>
    <t>57205</t>
  </si>
  <si>
    <t>57206</t>
  </si>
  <si>
    <t>57301</t>
  </si>
  <si>
    <t>57302</t>
  </si>
  <si>
    <t>57303</t>
  </si>
  <si>
    <t>57304</t>
  </si>
  <si>
    <t>57305</t>
  </si>
  <si>
    <t>57306</t>
  </si>
  <si>
    <t>57307</t>
  </si>
  <si>
    <t>58101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</si>
  <si>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</si>
  <si>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</si>
  <si>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</si>
  <si>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</si>
  <si>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</si>
  <si>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</si>
  <si>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</si>
  <si>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</si>
  <si>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</si>
  <si>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</si>
  <si>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</si>
  <si>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</si>
  <si>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58114</t>
  </si>
  <si>
    <t>56115</t>
  </si>
  <si>
    <t>58116</t>
  </si>
  <si>
    <t>58117</t>
  </si>
  <si>
    <t>58118</t>
  </si>
  <si>
    <t>58119</t>
  </si>
  <si>
    <t>58120</t>
  </si>
  <si>
    <t>58121</t>
  </si>
  <si>
    <t>58122</t>
  </si>
  <si>
    <t>58123</t>
  </si>
  <si>
    <t>58124</t>
  </si>
  <si>
    <t>58131</t>
  </si>
  <si>
    <t>58132</t>
  </si>
  <si>
    <t>58201</t>
  </si>
  <si>
    <t>58202</t>
  </si>
  <si>
    <t>58203</t>
  </si>
  <si>
    <t>58204</t>
  </si>
  <si>
    <t>58205</t>
  </si>
  <si>
    <t>58206</t>
  </si>
  <si>
    <t>58207</t>
  </si>
  <si>
    <t>58209</t>
  </si>
  <si>
    <t>58210</t>
  </si>
  <si>
    <t>58211</t>
  </si>
  <si>
    <t>58301</t>
  </si>
  <si>
    <t>58302</t>
  </si>
  <si>
    <t>58303</t>
  </si>
  <si>
    <t>58304</t>
  </si>
  <si>
    <t>58305</t>
  </si>
  <si>
    <t>58306</t>
  </si>
  <si>
    <t>58314</t>
  </si>
  <si>
    <t>58315</t>
  </si>
  <si>
    <t>58316</t>
  </si>
  <si>
    <t>58317</t>
  </si>
  <si>
    <t>58319</t>
  </si>
  <si>
    <t>58401</t>
  </si>
  <si>
    <t>58402</t>
  </si>
  <si>
    <t>58403</t>
  </si>
  <si>
    <t>58404</t>
  </si>
  <si>
    <t>58405</t>
  </si>
  <si>
    <t>58406</t>
  </si>
  <si>
    <t>58407</t>
  </si>
  <si>
    <t>58408</t>
  </si>
  <si>
    <t>58409</t>
  </si>
  <si>
    <t>58410</t>
  </si>
  <si>
    <t>58411</t>
  </si>
  <si>
    <t>58412</t>
  </si>
  <si>
    <t>58413</t>
  </si>
  <si>
    <t>58414</t>
  </si>
  <si>
    <t>58415</t>
  </si>
  <si>
    <t>58416</t>
  </si>
  <si>
    <t>58417</t>
  </si>
  <si>
    <t>58419</t>
  </si>
  <si>
    <t>58501</t>
  </si>
  <si>
    <t>58502</t>
  </si>
  <si>
    <t>58503</t>
  </si>
  <si>
    <t>58504</t>
  </si>
  <si>
    <t>58505</t>
  </si>
  <si>
    <t>58506</t>
  </si>
  <si>
    <t>58507</t>
  </si>
  <si>
    <t>59004</t>
  </si>
  <si>
    <t>59005</t>
  </si>
  <si>
    <t>59006</t>
  </si>
  <si>
    <t>59007</t>
  </si>
  <si>
    <t>59008</t>
  </si>
  <si>
    <t>59009</t>
  </si>
  <si>
    <t>59010</t>
  </si>
  <si>
    <t>TOP-7.1.1-16-H-042-1-0001 Debreceniek háza létrehozása</t>
  </si>
  <si>
    <t xml:space="preserve">ROHU CBC Incubator(Concept Note) </t>
  </si>
  <si>
    <t>ROHU EduCultCentre(Concept Note)</t>
  </si>
  <si>
    <t>DVSC Ökölvívó Kft támogatása</t>
  </si>
  <si>
    <t>542128</t>
  </si>
  <si>
    <t>542129</t>
  </si>
  <si>
    <t>542130</t>
  </si>
  <si>
    <t>542131</t>
  </si>
  <si>
    <t>54415</t>
  </si>
  <si>
    <t>59001</t>
  </si>
  <si>
    <t>59002</t>
  </si>
  <si>
    <t>59003</t>
  </si>
  <si>
    <t>ASP részletező
kód</t>
  </si>
  <si>
    <t xml:space="preserve">Ovi-Sport Közhasznú Alapítvány (felhalmozási célú támogatás árnyékoló háló felszerelésére két óvodában) </t>
  </si>
  <si>
    <t>16.2.2.8</t>
  </si>
  <si>
    <t>Debreceni Campus Nonprofit Közhasznú Kft. támogatása</t>
  </si>
  <si>
    <t>2019. évi választások kiadásai</t>
  </si>
  <si>
    <t>Módosított előirányzat</t>
  </si>
  <si>
    <t>2019. évi módosított előirányzat összege</t>
  </si>
  <si>
    <t>(5. melléklet a 3/2019. (II. 21.) önkormányzati rendelethez)</t>
  </si>
  <si>
    <t>(5.1. melléklet a 3/2019. (II. 21.) önkormányzati rendelethez)</t>
  </si>
  <si>
    <t>(5.2. melléklet a 3/2019. (II. 21.) önkormányzati rendelethez)</t>
  </si>
  <si>
    <t>(5.3. melléklet a 3/2019. (II. 21.) önkormányzati rendelethez)</t>
  </si>
  <si>
    <t>(5.4. melléklet a 3/2019. (II. 21.) önkormányzati rendelethez)</t>
  </si>
  <si>
    <t>(5.5. melléklet a 3/2019. (II. 21.) önkormányzati rendelethez)</t>
  </si>
  <si>
    <t>(5.6. melléklet a 3/2019. (II. 21.) önkormányzati rendelethez)</t>
  </si>
  <si>
    <t>(5.7. melléklet a 3/2019. (II. 21.) önkormányzati rendelethez)</t>
  </si>
  <si>
    <t>(5.8. melléklet a 3/2019. (II. 21.) önkormányzati rendelethez)</t>
  </si>
  <si>
    <t>(5.9. melléklet a 3/2019. (II. 21.) önkormányzati rendelethez)</t>
  </si>
  <si>
    <t>(5.10. melléklet a 3/2019. (II. 21.) önkormányzati rendelethez)</t>
  </si>
  <si>
    <t>(5.11. melléklet a 3/2019. (II. 21.) önkormányzati rendelethez)</t>
  </si>
  <si>
    <t>(5.12. melléklet a 3/2019. (II. 21.) önkormányzati rendelethez)</t>
  </si>
  <si>
    <t>(5.13. melléklet a 3/2019. (II. 21.) önkormányzati rendelethez)</t>
  </si>
  <si>
    <t>(5.14. melléklet a 3/2019. (II. 21.) önkormányzati rendelethez)</t>
  </si>
  <si>
    <t>(5.15. melléklet a 3/2019. (II. 21.) önkormányzati rendelethez)</t>
  </si>
  <si>
    <t>(5.16. melléklet a 3/2019. (II. 21.) önkormányzati rendelethez)</t>
  </si>
  <si>
    <t>(5.17. melléklet a 3/2019. (II. 21.) önkormányzati rendelethez)</t>
  </si>
  <si>
    <t>(5.18. melléklet a 3/2019. (II. 21.) önkormányzati rendelethez)</t>
  </si>
  <si>
    <t>(5.19. melléklet a 3/2019. (II. 21.) önkormányzati rendelethez)</t>
  </si>
  <si>
    <t>12.2.7</t>
  </si>
  <si>
    <t xml:space="preserve">Debreceni Asztalitenisz Klub támogatása </t>
  </si>
  <si>
    <t>(3. oldal)</t>
  </si>
  <si>
    <t>16.2.2.9</t>
  </si>
  <si>
    <t>A párizsi Notre-Dame székesegyház tűzvészben megrongálódott épületének helyreállítását szolgáló adomány</t>
  </si>
  <si>
    <t>28. melléklet a 11/2019. (IV. 18.) önkormányzati rendelethez</t>
  </si>
  <si>
    <t>15. melléklet a 11/2019. (IV. 18.) önkormányzati rendelethez</t>
  </si>
  <si>
    <t>16. melléklet a 11/2019. (IV. 18.) önkormányzati rendelethez</t>
  </si>
  <si>
    <t>17. melléklet a 11/2019. (IV. 18.) önkormányzati rendelethez</t>
  </si>
  <si>
    <t>18. melléklet a 11/2019. (IV. 18.) önkormányzati rendelethez</t>
  </si>
  <si>
    <t>19. melléklet a 11/2019. (IV. 18.) önkormányzati rendelethez</t>
  </si>
  <si>
    <t>20. melléklet a 11/2019. (IV. 18.) önkormányzati rendelethez</t>
  </si>
  <si>
    <t>21. melléklet a 11/2019. (IV. 18.) önkormányzati rendelethez</t>
  </si>
  <si>
    <t>22. melléklet a 11/2019. (IV. 18.) önkormányzati rendelethez</t>
  </si>
  <si>
    <t>23. melléklet a 11/2019. (IV. 18.) önkormányzati rendelethez</t>
  </si>
  <si>
    <t>24. melléklet a 11/2019. (IV. 18.) önkormányzati rendelethez</t>
  </si>
  <si>
    <t>25. melléklet a 11/2019. (IV. 18.) önkormányzati rendelethez</t>
  </si>
  <si>
    <t>26. melléklet a 11/2019. (IV. 18.) önkormányzati rendelethez</t>
  </si>
  <si>
    <t>27. melléklet a 11/2019. (IV. 18.) önkormányzati rendelethez</t>
  </si>
  <si>
    <t>29. melléklet a 11/2019. (IV. 18.) önkormányzati rendelethez</t>
  </si>
  <si>
    <t>30. melléklet a 11/2019. (IV. 18.) önkormányzati rendelethez</t>
  </si>
  <si>
    <t>31. melléklet a 11/2019. (IV. 18.) önkormányzati rendelethez</t>
  </si>
  <si>
    <t>32. melléklet a 11/2019. (IV. 18.) önkormányzati rendelethez</t>
  </si>
  <si>
    <t>33. melléklet a 11/2019. (IV. 18.) önkormányzati rendelethez</t>
  </si>
  <si>
    <t>34. melléklet a 11/2019. (IV. 18.) önkormányzati rendelethez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</si>
</sst>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  <numFmt numFmtId="173" formatCode="yyyy\-mm\-dd;@"/>
    <numFmt numFmtId="174" formatCode="#,##0&quot; Ft&quot;"/>
    <numFmt numFmtId="175" formatCode="_-* #,##0.00\ _F_t_-;\-* #,##0.00\ _F_t_-;_-* \-??\ _F_t_-;_-@_-"/>
    <numFmt numFmtId="176" formatCode="_-* #,##0\ _F_t_-;\-* #,##0\ _F_t_-;_-* \-??\ _F_t_-;_-@_-"/>
    <numFmt numFmtId="177" formatCode="#,##0;\-#,##0"/>
    <numFmt numFmtId="178" formatCode="_-* #,##0.000\ _F_t_-;\-* #,##0.000\ _F_t_-;_-* \-??\ _F_t_-;_-@_-"/>
    <numFmt numFmtId="179" formatCode="_-* #,##0.0\ _F_t_-;\-* #,##0.0\ _F_t_-;_-* \-??\ _F_t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  <numFmt numFmtId="184" formatCode="#,##0\ _F_t"/>
    <numFmt numFmtId="185" formatCode="0.0"/>
    <numFmt numFmtId="186" formatCode="[$-40E]yyyy\.\ mmmm\ d\."/>
    <numFmt numFmtId="187" formatCode="#,##0.0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u val="single"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color indexed="8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ill="0" applyBorder="0" applyAlignment="0" applyProtection="0"/>
  </cellStyleXfs>
  <cellXfs count="45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vertical="center" wrapText="1"/>
    </xf>
    <xf numFmtId="3" fontId="11" fillId="33" borderId="14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11" fillId="33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 applyProtection="1">
      <alignment vertical="center"/>
      <protection/>
    </xf>
    <xf numFmtId="3" fontId="6" fillId="0" borderId="17" xfId="0" applyNumberFormat="1" applyFont="1" applyFill="1" applyBorder="1" applyAlignment="1" applyProtection="1">
      <alignment vertical="center"/>
      <protection/>
    </xf>
    <xf numFmtId="3" fontId="6" fillId="0" borderId="18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6" fillId="0" borderId="20" xfId="0" applyNumberFormat="1" applyFont="1" applyFill="1" applyBorder="1" applyAlignment="1" applyProtection="1">
      <alignment vertical="center"/>
      <protection/>
    </xf>
    <xf numFmtId="3" fontId="6" fillId="0" borderId="21" xfId="0" applyNumberFormat="1" applyFont="1" applyFill="1" applyBorder="1" applyAlignment="1" applyProtection="1">
      <alignment vertical="center"/>
      <protection/>
    </xf>
    <xf numFmtId="3" fontId="6" fillId="0" borderId="22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 vertical="center"/>
      <protection/>
    </xf>
    <xf numFmtId="3" fontId="6" fillId="0" borderId="25" xfId="0" applyNumberFormat="1" applyFont="1" applyFill="1" applyBorder="1" applyAlignment="1" applyProtection="1">
      <alignment vertical="center"/>
      <protection/>
    </xf>
    <xf numFmtId="3" fontId="6" fillId="0" borderId="26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0" borderId="22" xfId="0" applyNumberFormat="1" applyFont="1" applyFill="1" applyBorder="1" applyAlignment="1" applyProtection="1">
      <alignment vertical="center"/>
      <protection/>
    </xf>
    <xf numFmtId="3" fontId="6" fillId="0" borderId="26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3" fontId="11" fillId="33" borderId="16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0" fontId="0" fillId="0" borderId="0" xfId="58" applyFont="1">
      <alignment/>
      <protection/>
    </xf>
    <xf numFmtId="0" fontId="0" fillId="0" borderId="0" xfId="58">
      <alignment/>
      <protection/>
    </xf>
    <xf numFmtId="0" fontId="0" fillId="0" borderId="0" xfId="58" applyFont="1" applyBorder="1">
      <alignment/>
      <protection/>
    </xf>
    <xf numFmtId="0" fontId="0" fillId="0" borderId="0" xfId="0" applyFont="1" applyBorder="1" applyAlignment="1">
      <alignment horizontal="right" vertical="center"/>
    </xf>
    <xf numFmtId="0" fontId="12" fillId="0" borderId="0" xfId="59" applyFont="1" applyBorder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0" fillId="0" borderId="10" xfId="58" applyFont="1" applyBorder="1" applyAlignment="1">
      <alignment horizontal="center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/>
      <protection/>
    </xf>
    <xf numFmtId="0" fontId="13" fillId="0" borderId="0" xfId="58" applyFont="1" applyAlignment="1">
      <alignment horizontal="right"/>
      <protection/>
    </xf>
    <xf numFmtId="49" fontId="14" fillId="33" borderId="10" xfId="58" applyNumberFormat="1" applyFont="1" applyFill="1" applyBorder="1" applyAlignment="1">
      <alignment horizontal="right" vertical="center"/>
      <protection/>
    </xf>
    <xf numFmtId="0" fontId="14" fillId="33" borderId="10" xfId="58" applyFont="1" applyFill="1" applyBorder="1" applyAlignment="1">
      <alignment horizontal="right"/>
      <protection/>
    </xf>
    <xf numFmtId="0" fontId="14" fillId="33" borderId="10" xfId="59" applyFont="1" applyFill="1" applyBorder="1" applyAlignment="1">
      <alignment horizontal="right" vertical="center" wrapText="1"/>
      <protection/>
    </xf>
    <xf numFmtId="0" fontId="14" fillId="33" borderId="10" xfId="59" applyFont="1" applyFill="1" applyBorder="1" applyAlignment="1">
      <alignment horizontal="right" vertical="center" textRotation="90" wrapText="1"/>
      <protection/>
    </xf>
    <xf numFmtId="3" fontId="14" fillId="33" borderId="10" xfId="59" applyNumberFormat="1" applyFont="1" applyFill="1" applyBorder="1" applyAlignment="1">
      <alignment horizontal="right" vertical="center" wrapText="1"/>
      <protection/>
    </xf>
    <xf numFmtId="49" fontId="0" fillId="0" borderId="10" xfId="58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 wrapText="1"/>
      <protection/>
    </xf>
    <xf numFmtId="172" fontId="0" fillId="0" borderId="10" xfId="59" applyNumberFormat="1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textRotation="90" wrapText="1"/>
      <protection/>
    </xf>
    <xf numFmtId="3" fontId="13" fillId="0" borderId="10" xfId="59" applyNumberFormat="1" applyFont="1" applyBorder="1" applyAlignment="1">
      <alignment vertical="center"/>
      <protection/>
    </xf>
    <xf numFmtId="4" fontId="13" fillId="0" borderId="10" xfId="59" applyNumberFormat="1" applyFont="1" applyBorder="1" applyAlignment="1">
      <alignment vertical="center"/>
      <protection/>
    </xf>
    <xf numFmtId="3" fontId="13" fillId="0" borderId="10" xfId="59" applyNumberFormat="1" applyFont="1" applyBorder="1" applyAlignment="1">
      <alignment horizontal="right" vertical="center"/>
      <protection/>
    </xf>
    <xf numFmtId="3" fontId="14" fillId="0" borderId="10" xfId="59" applyNumberFormat="1" applyFont="1" applyBorder="1" applyAlignment="1">
      <alignment horizontal="right" vertical="center"/>
      <protection/>
    </xf>
    <xf numFmtId="3" fontId="14" fillId="33" borderId="10" xfId="59" applyNumberFormat="1" applyFont="1" applyFill="1" applyBorder="1" applyAlignment="1">
      <alignment horizontal="right" vertical="center"/>
      <protection/>
    </xf>
    <xf numFmtId="0" fontId="0" fillId="0" borderId="10" xfId="59" applyFont="1" applyBorder="1" applyAlignment="1">
      <alignment vertical="center" wrapText="1"/>
      <protection/>
    </xf>
    <xf numFmtId="173" fontId="0" fillId="0" borderId="10" xfId="59" applyNumberFormat="1" applyFont="1" applyBorder="1" applyAlignment="1">
      <alignment horizontal="center" vertical="center" wrapText="1"/>
      <protection/>
    </xf>
    <xf numFmtId="3" fontId="14" fillId="0" borderId="10" xfId="59" applyNumberFormat="1" applyFont="1" applyBorder="1" applyAlignment="1">
      <alignment vertical="center"/>
      <protection/>
    </xf>
    <xf numFmtId="3" fontId="13" fillId="0" borderId="10" xfId="59" applyNumberFormat="1" applyFont="1" applyFill="1" applyBorder="1" applyAlignment="1">
      <alignment vertical="center"/>
      <protection/>
    </xf>
    <xf numFmtId="3" fontId="14" fillId="33" borderId="10" xfId="59" applyNumberFormat="1" applyFont="1" applyFill="1" applyBorder="1" applyAlignment="1">
      <alignment vertical="center"/>
      <protection/>
    </xf>
    <xf numFmtId="3" fontId="14" fillId="33" borderId="10" xfId="59" applyNumberFormat="1" applyFont="1" applyFill="1" applyBorder="1" applyAlignment="1">
      <alignment horizontal="center" vertical="center" textRotation="90" wrapText="1"/>
      <protection/>
    </xf>
    <xf numFmtId="0" fontId="13" fillId="0" borderId="10" xfId="58" applyFont="1" applyBorder="1" applyAlignment="1">
      <alignment horizontal="right" vertical="center"/>
      <protection/>
    </xf>
    <xf numFmtId="0" fontId="14" fillId="33" borderId="10" xfId="58" applyFont="1" applyFill="1" applyBorder="1" applyAlignment="1">
      <alignment horizontal="right" vertical="center"/>
      <protection/>
    </xf>
    <xf numFmtId="0" fontId="0" fillId="0" borderId="10" xfId="58" applyFont="1" applyBorder="1" applyAlignment="1">
      <alignment vertical="center"/>
      <protection/>
    </xf>
    <xf numFmtId="0" fontId="9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9" fillId="0" borderId="0" xfId="60" applyFont="1" applyBorder="1">
      <alignment/>
      <protection/>
    </xf>
    <xf numFmtId="0" fontId="10" fillId="0" borderId="0" xfId="60" applyFont="1" applyBorder="1" applyAlignment="1">
      <alignment horizontal="center" vertical="center"/>
      <protection/>
    </xf>
    <xf numFmtId="0" fontId="13" fillId="0" borderId="27" xfId="60" applyFont="1" applyBorder="1" applyAlignment="1">
      <alignment vertical="center"/>
      <protection/>
    </xf>
    <xf numFmtId="0" fontId="0" fillId="0" borderId="10" xfId="60" applyFont="1" applyBorder="1" applyAlignment="1">
      <alignment horizontal="center"/>
      <protection/>
    </xf>
    <xf numFmtId="0" fontId="14" fillId="33" borderId="10" xfId="59" applyFont="1" applyFill="1" applyBorder="1" applyAlignment="1">
      <alignment horizontal="center" vertical="center" wrapText="1"/>
      <protection/>
    </xf>
    <xf numFmtId="3" fontId="14" fillId="33" borderId="10" xfId="60" applyNumberFormat="1" applyFont="1" applyFill="1" applyBorder="1" applyAlignment="1">
      <alignment horizontal="right" vertical="center"/>
      <protection/>
    </xf>
    <xf numFmtId="3" fontId="0" fillId="0" borderId="10" xfId="60" applyNumberFormat="1" applyFont="1" applyBorder="1" applyAlignment="1" applyProtection="1">
      <alignment vertical="center"/>
      <protection locked="0"/>
    </xf>
    <xf numFmtId="3" fontId="0" fillId="0" borderId="10" xfId="59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 wrapText="1"/>
      <protection/>
    </xf>
    <xf numFmtId="3" fontId="9" fillId="0" borderId="19" xfId="61" applyNumberFormat="1" applyFont="1" applyFill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vertical="center" wrapText="1"/>
      <protection/>
    </xf>
    <xf numFmtId="3" fontId="9" fillId="0" borderId="19" xfId="61" applyNumberFormat="1" applyFont="1" applyFill="1" applyBorder="1" applyAlignment="1">
      <alignment vertical="center" wrapText="1"/>
      <protection/>
    </xf>
    <xf numFmtId="49" fontId="9" fillId="0" borderId="19" xfId="61" applyNumberFormat="1" applyFont="1" applyFill="1" applyBorder="1" applyAlignment="1">
      <alignment horizontal="left" vertical="center" wrapText="1"/>
      <protection/>
    </xf>
    <xf numFmtId="0" fontId="9" fillId="34" borderId="19" xfId="6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 applyProtection="1">
      <alignment vertical="center"/>
      <protection/>
    </xf>
    <xf numFmtId="3" fontId="8" fillId="33" borderId="28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>
      <alignment horizontal="center" vertical="center" wrapText="1"/>
    </xf>
    <xf numFmtId="3" fontId="8" fillId="34" borderId="28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0" fontId="8" fillId="34" borderId="0" xfId="0" applyFont="1" applyFill="1" applyAlignment="1">
      <alignment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 applyProtection="1">
      <alignment vertical="center"/>
      <protection/>
    </xf>
    <xf numFmtId="3" fontId="8" fillId="33" borderId="19" xfId="0" applyNumberFormat="1" applyFont="1" applyFill="1" applyBorder="1" applyAlignment="1" applyProtection="1">
      <alignment vertical="center"/>
      <protection/>
    </xf>
    <xf numFmtId="3" fontId="8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3" fontId="11" fillId="33" borderId="19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3" fontId="6" fillId="0" borderId="15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6" fillId="0" borderId="28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vertical="center" wrapText="1"/>
    </xf>
    <xf numFmtId="177" fontId="6" fillId="0" borderId="10" xfId="0" applyNumberFormat="1" applyFont="1" applyFill="1" applyBorder="1" applyAlignment="1">
      <alignment vertical="center" wrapText="1"/>
    </xf>
    <xf numFmtId="11" fontId="9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9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58" applyNumberFormat="1" applyFont="1">
      <alignment/>
      <protection/>
    </xf>
    <xf numFmtId="3" fontId="8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13" fillId="0" borderId="0" xfId="0" applyFont="1" applyAlignment="1">
      <alignment vertical="center" wrapText="1"/>
    </xf>
    <xf numFmtId="0" fontId="13" fillId="0" borderId="34" xfId="0" applyFont="1" applyFill="1" applyBorder="1" applyAlignment="1">
      <alignment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vertical="center" wrapText="1"/>
    </xf>
    <xf numFmtId="3" fontId="11" fillId="33" borderId="34" xfId="0" applyNumberFormat="1" applyFont="1" applyFill="1" applyBorder="1" applyAlignment="1">
      <alignment vertical="center" wrapText="1"/>
    </xf>
    <xf numFmtId="3" fontId="11" fillId="33" borderId="34" xfId="0" applyNumberFormat="1" applyFont="1" applyFill="1" applyBorder="1" applyAlignment="1" applyProtection="1">
      <alignment vertical="center" wrapText="1"/>
      <protection/>
    </xf>
    <xf numFmtId="49" fontId="17" fillId="0" borderId="19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 applyProtection="1">
      <alignment vertical="center"/>
      <protection/>
    </xf>
    <xf numFmtId="0" fontId="0" fillId="0" borderId="34" xfId="0" applyFont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3" fontId="13" fillId="0" borderId="34" xfId="61" applyNumberFormat="1" applyFont="1" applyFill="1" applyBorder="1" applyAlignment="1">
      <alignment vertical="center" wrapText="1"/>
      <protection/>
    </xf>
    <xf numFmtId="3" fontId="13" fillId="0" borderId="34" xfId="61" applyNumberFormat="1" applyFont="1" applyFill="1" applyBorder="1" applyAlignment="1">
      <alignment horizontal="left" vertical="center" wrapText="1"/>
      <protection/>
    </xf>
    <xf numFmtId="0" fontId="20" fillId="0" borderId="34" xfId="0" applyFont="1" applyFill="1" applyBorder="1" applyAlignment="1">
      <alignment vertical="center" wrapText="1"/>
    </xf>
    <xf numFmtId="0" fontId="13" fillId="35" borderId="34" xfId="56" applyFont="1" applyFill="1" applyBorder="1" applyAlignment="1">
      <alignment horizontal="left" vertical="center" wrapText="1"/>
      <protection/>
    </xf>
    <xf numFmtId="0" fontId="13" fillId="0" borderId="34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wrapText="1"/>
    </xf>
    <xf numFmtId="3" fontId="6" fillId="33" borderId="34" xfId="0" applyNumberFormat="1" applyFont="1" applyFill="1" applyBorder="1" applyAlignment="1">
      <alignment vertical="center" wrapText="1"/>
    </xf>
    <xf numFmtId="3" fontId="6" fillId="0" borderId="34" xfId="0" applyNumberFormat="1" applyFont="1" applyFill="1" applyBorder="1" applyAlignment="1" applyProtection="1">
      <alignment vertical="center" wrapText="1"/>
      <protection/>
    </xf>
    <xf numFmtId="3" fontId="6" fillId="0" borderId="34" xfId="0" applyNumberFormat="1" applyFont="1" applyFill="1" applyBorder="1" applyAlignment="1" applyProtection="1">
      <alignment vertical="center"/>
      <protection/>
    </xf>
    <xf numFmtId="3" fontId="6" fillId="33" borderId="3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 wrapText="1"/>
    </xf>
    <xf numFmtId="3" fontId="11" fillId="33" borderId="34" xfId="0" applyNumberFormat="1" applyFont="1" applyFill="1" applyBorder="1" applyAlignment="1">
      <alignment vertical="center"/>
    </xf>
    <xf numFmtId="3" fontId="11" fillId="33" borderId="34" xfId="0" applyNumberFormat="1" applyFont="1" applyFill="1" applyBorder="1" applyAlignment="1" applyProtection="1">
      <alignment vertical="center"/>
      <protection/>
    </xf>
    <xf numFmtId="0" fontId="9" fillId="0" borderId="34" xfId="0" applyFont="1" applyFill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49" fontId="9" fillId="35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/>
    </xf>
    <xf numFmtId="3" fontId="6" fillId="0" borderId="35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Alignment="1">
      <alignment/>
    </xf>
    <xf numFmtId="0" fontId="13" fillId="0" borderId="34" xfId="56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vertical="center"/>
    </xf>
    <xf numFmtId="0" fontId="0" fillId="33" borderId="36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 applyProtection="1">
      <alignment vertical="center"/>
      <protection/>
    </xf>
    <xf numFmtId="0" fontId="16" fillId="33" borderId="37" xfId="0" applyFont="1" applyFill="1" applyBorder="1" applyAlignment="1">
      <alignment vertical="center" wrapText="1"/>
    </xf>
    <xf numFmtId="3" fontId="17" fillId="33" borderId="28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3" fontId="11" fillId="33" borderId="38" xfId="0" applyNumberFormat="1" applyFont="1" applyFill="1" applyBorder="1" applyAlignment="1">
      <alignment vertical="center"/>
    </xf>
    <xf numFmtId="176" fontId="0" fillId="0" borderId="0" xfId="0" applyNumberFormat="1" applyAlignment="1">
      <alignment/>
    </xf>
    <xf numFmtId="3" fontId="11" fillId="33" borderId="35" xfId="0" applyNumberFormat="1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3" fontId="8" fillId="34" borderId="0" xfId="0" applyNumberFormat="1" applyFont="1" applyFill="1" applyAlignment="1">
      <alignment vertical="center" wrapText="1"/>
    </xf>
    <xf numFmtId="0" fontId="18" fillId="36" borderId="34" xfId="0" applyFont="1" applyFill="1" applyBorder="1" applyAlignment="1">
      <alignment vertical="center" wrapText="1"/>
    </xf>
    <xf numFmtId="0" fontId="18" fillId="37" borderId="34" xfId="0" applyFont="1" applyFill="1" applyBorder="1" applyAlignment="1">
      <alignment vertical="center" wrapText="1"/>
    </xf>
    <xf numFmtId="49" fontId="8" fillId="35" borderId="34" xfId="0" applyNumberFormat="1" applyFont="1" applyFill="1" applyBorder="1" applyAlignment="1">
      <alignment horizontal="center" vertical="center" wrapText="1"/>
    </xf>
    <xf numFmtId="184" fontId="8" fillId="35" borderId="34" xfId="0" applyNumberFormat="1" applyFont="1" applyFill="1" applyBorder="1" applyAlignment="1">
      <alignment vertical="center" wrapText="1"/>
    </xf>
    <xf numFmtId="0" fontId="8" fillId="35" borderId="34" xfId="0" applyFont="1" applyFill="1" applyBorder="1" applyAlignment="1">
      <alignment vertical="center" wrapText="1"/>
    </xf>
    <xf numFmtId="49" fontId="8" fillId="34" borderId="19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37" borderId="34" xfId="0" applyNumberFormat="1" applyFont="1" applyFill="1" applyBorder="1" applyAlignment="1">
      <alignment horizontal="center" vertical="center" wrapText="1"/>
    </xf>
    <xf numFmtId="0" fontId="18" fillId="37" borderId="34" xfId="0" applyFont="1" applyFill="1" applyBorder="1" applyAlignment="1">
      <alignment horizontal="left" vertical="center" wrapText="1"/>
    </xf>
    <xf numFmtId="0" fontId="18" fillId="35" borderId="34" xfId="0" applyFont="1" applyFill="1" applyBorder="1" applyAlignment="1">
      <alignment vertical="center" wrapText="1"/>
    </xf>
    <xf numFmtId="49" fontId="18" fillId="35" borderId="34" xfId="0" applyNumberFormat="1" applyFont="1" applyFill="1" applyBorder="1" applyAlignment="1">
      <alignment vertical="center" wrapText="1"/>
    </xf>
    <xf numFmtId="0" fontId="18" fillId="37" borderId="34" xfId="0" applyFont="1" applyFill="1" applyBorder="1" applyAlignment="1">
      <alignment wrapText="1"/>
    </xf>
    <xf numFmtId="0" fontId="9" fillId="35" borderId="10" xfId="0" applyFont="1" applyFill="1" applyBorder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3" fontId="11" fillId="33" borderId="19" xfId="0" applyNumberFormat="1" applyFont="1" applyFill="1" applyBorder="1" applyAlignment="1" applyProtection="1">
      <alignment vertical="center" wrapText="1"/>
      <protection/>
    </xf>
    <xf numFmtId="3" fontId="6" fillId="0" borderId="19" xfId="0" applyNumberFormat="1" applyFont="1" applyFill="1" applyBorder="1" applyAlignment="1" applyProtection="1">
      <alignment vertical="center" wrapText="1"/>
      <protection/>
    </xf>
    <xf numFmtId="3" fontId="6" fillId="0" borderId="19" xfId="0" applyNumberFormat="1" applyFont="1" applyFill="1" applyBorder="1" applyAlignment="1">
      <alignment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8" fillId="0" borderId="19" xfId="0" applyNumberFormat="1" applyFont="1" applyFill="1" applyBorder="1" applyAlignment="1" applyProtection="1">
      <alignment vertical="center"/>
      <protection/>
    </xf>
    <xf numFmtId="3" fontId="8" fillId="0" borderId="40" xfId="0" applyNumberFormat="1" applyFont="1" applyFill="1" applyBorder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4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6" fillId="33" borderId="19" xfId="0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3" fontId="6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3" fontId="11" fillId="0" borderId="19" xfId="0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Fill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11" fillId="33" borderId="39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/>
    </xf>
    <xf numFmtId="3" fontId="67" fillId="0" borderId="0" xfId="0" applyNumberFormat="1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67" fillId="0" borderId="0" xfId="0" applyNumberFormat="1" applyFont="1" applyFill="1" applyBorder="1" applyAlignment="1">
      <alignment vertical="center" wrapText="1"/>
    </xf>
    <xf numFmtId="3" fontId="70" fillId="0" borderId="0" xfId="0" applyNumberFormat="1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13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1" fillId="38" borderId="34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/>
    </xf>
    <xf numFmtId="3" fontId="6" fillId="0" borderId="37" xfId="0" applyNumberFormat="1" applyFont="1" applyFill="1" applyBorder="1" applyAlignment="1" applyProtection="1">
      <alignment vertical="center"/>
      <protection/>
    </xf>
    <xf numFmtId="0" fontId="9" fillId="0" borderId="34" xfId="0" applyFont="1" applyFill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3" fontId="6" fillId="35" borderId="19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0" fontId="0" fillId="0" borderId="19" xfId="60" applyFont="1" applyBorder="1" applyAlignment="1">
      <alignment horizontal="center"/>
      <protection/>
    </xf>
    <xf numFmtId="0" fontId="0" fillId="0" borderId="28" xfId="60" applyFont="1" applyBorder="1" applyAlignment="1">
      <alignment horizontal="center"/>
      <protection/>
    </xf>
    <xf numFmtId="0" fontId="9" fillId="0" borderId="34" xfId="60" applyFont="1" applyBorder="1" applyAlignment="1">
      <alignment horizontal="center"/>
      <protection/>
    </xf>
    <xf numFmtId="3" fontId="9" fillId="0" borderId="3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13" fillId="0" borderId="34" xfId="0" applyFont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34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/>
    </xf>
    <xf numFmtId="0" fontId="0" fillId="0" borderId="34" xfId="0" applyBorder="1" applyAlignment="1">
      <alignment wrapText="1"/>
    </xf>
    <xf numFmtId="0" fontId="8" fillId="0" borderId="34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33" borderId="34" xfId="0" applyFont="1" applyFill="1" applyBorder="1" applyAlignment="1">
      <alignment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3" fontId="8" fillId="33" borderId="19" xfId="0" applyNumberFormat="1" applyFont="1" applyFill="1" applyBorder="1" applyAlignment="1">
      <alignment vertical="center"/>
    </xf>
    <xf numFmtId="3" fontId="17" fillId="33" borderId="19" xfId="0" applyNumberFormat="1" applyFont="1" applyFill="1" applyBorder="1" applyAlignment="1" applyProtection="1">
      <alignment vertical="center"/>
      <protection/>
    </xf>
    <xf numFmtId="3" fontId="8" fillId="0" borderId="28" xfId="0" applyNumberFormat="1" applyFont="1" applyFill="1" applyBorder="1" applyAlignment="1" applyProtection="1">
      <alignment vertical="center"/>
      <protection/>
    </xf>
    <xf numFmtId="3" fontId="8" fillId="33" borderId="28" xfId="0" applyNumberFormat="1" applyFont="1" applyFill="1" applyBorder="1" applyAlignment="1" applyProtection="1">
      <alignment vertical="center"/>
      <protection/>
    </xf>
    <xf numFmtId="3" fontId="17" fillId="33" borderId="28" xfId="0" applyNumberFormat="1" applyFont="1" applyFill="1" applyBorder="1" applyAlignment="1" applyProtection="1">
      <alignment vertical="center"/>
      <protection/>
    </xf>
    <xf numFmtId="3" fontId="17" fillId="33" borderId="41" xfId="0" applyNumberFormat="1" applyFont="1" applyFill="1" applyBorder="1" applyAlignment="1">
      <alignment vertical="center"/>
    </xf>
    <xf numFmtId="3" fontId="8" fillId="33" borderId="34" xfId="0" applyNumberFormat="1" applyFont="1" applyFill="1" applyBorder="1" applyAlignment="1">
      <alignment vertical="center"/>
    </xf>
    <xf numFmtId="3" fontId="17" fillId="33" borderId="34" xfId="0" applyNumberFormat="1" applyFont="1" applyFill="1" applyBorder="1" applyAlignment="1">
      <alignment vertical="center"/>
    </xf>
    <xf numFmtId="0" fontId="0" fillId="0" borderId="0" xfId="58" applyFont="1" applyBorder="1" applyAlignment="1">
      <alignment horizontal="right"/>
      <protection/>
    </xf>
    <xf numFmtId="0" fontId="13" fillId="0" borderId="0" xfId="58" applyFont="1" applyBorder="1" applyAlignment="1">
      <alignment horizontal="right"/>
      <protection/>
    </xf>
    <xf numFmtId="0" fontId="0" fillId="0" borderId="0" xfId="60" applyFont="1" applyBorder="1" applyAlignment="1">
      <alignment horizontal="center"/>
      <protection/>
    </xf>
    <xf numFmtId="0" fontId="0" fillId="0" borderId="34" xfId="60" applyFont="1" applyBorder="1" applyAlignment="1">
      <alignment horizontal="center"/>
      <protection/>
    </xf>
    <xf numFmtId="0" fontId="0" fillId="33" borderId="34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11" xfId="0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49" fontId="10" fillId="33" borderId="13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0" fillId="0" borderId="42" xfId="0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0" fillId="0" borderId="0" xfId="58" applyFont="1" applyAlignment="1">
      <alignment horizontal="left"/>
      <protection/>
    </xf>
    <xf numFmtId="0" fontId="14" fillId="33" borderId="10" xfId="59" applyFont="1" applyFill="1" applyBorder="1" applyAlignment="1">
      <alignment horizontal="left" vertical="center" wrapText="1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 textRotation="90" wrapText="1"/>
      <protection/>
    </xf>
    <xf numFmtId="3" fontId="14" fillId="33" borderId="10" xfId="59" applyNumberFormat="1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textRotation="90"/>
      <protection/>
    </xf>
    <xf numFmtId="0" fontId="0" fillId="33" borderId="10" xfId="59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2" fillId="33" borderId="10" xfId="58" applyFont="1" applyFill="1" applyBorder="1" applyAlignment="1">
      <alignment horizontal="center" vertical="center" textRotation="90"/>
      <protection/>
    </xf>
    <xf numFmtId="0" fontId="12" fillId="33" borderId="15" xfId="58" applyFont="1" applyFill="1" applyBorder="1" applyAlignment="1">
      <alignment horizontal="center" vertical="center" textRotation="90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/>
      <protection/>
    </xf>
    <xf numFmtId="0" fontId="12" fillId="33" borderId="10" xfId="59" applyFont="1" applyFill="1" applyBorder="1" applyAlignment="1">
      <alignment horizontal="center" vertical="center" textRotation="90" wrapText="1"/>
      <protection/>
    </xf>
    <xf numFmtId="0" fontId="9" fillId="0" borderId="0" xfId="0" applyFont="1" applyBorder="1" applyAlignment="1">
      <alignment horizontal="right" vertical="center"/>
    </xf>
    <xf numFmtId="172" fontId="0" fillId="0" borderId="19" xfId="59" applyNumberFormat="1" applyFont="1" applyBorder="1" applyAlignment="1">
      <alignment horizontal="center" vertical="center" wrapText="1"/>
      <protection/>
    </xf>
    <xf numFmtId="172" fontId="0" fillId="0" borderId="40" xfId="59" applyNumberFormat="1" applyFont="1" applyBorder="1" applyAlignment="1">
      <alignment horizontal="center" vertical="center" wrapText="1"/>
      <protection/>
    </xf>
    <xf numFmtId="172" fontId="0" fillId="0" borderId="28" xfId="59" applyNumberFormat="1" applyFont="1" applyBorder="1" applyAlignment="1">
      <alignment horizontal="center" vertical="center" wrapText="1"/>
      <protection/>
    </xf>
    <xf numFmtId="172" fontId="0" fillId="0" borderId="10" xfId="59" applyNumberFormat="1" applyFont="1" applyBorder="1" applyAlignment="1">
      <alignment horizontal="center" vertical="center" wrapText="1"/>
      <protection/>
    </xf>
    <xf numFmtId="0" fontId="21" fillId="0" borderId="0" xfId="60" applyFont="1" applyAlignment="1">
      <alignment horizontal="center"/>
      <protection/>
    </xf>
    <xf numFmtId="0" fontId="22" fillId="0" borderId="0" xfId="60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0" fontId="14" fillId="33" borderId="10" xfId="59" applyFont="1" applyFill="1" applyBorder="1" applyAlignment="1">
      <alignment horizontal="center" vertical="center" wrapText="1"/>
      <protection/>
    </xf>
    <xf numFmtId="0" fontId="14" fillId="33" borderId="15" xfId="59" applyFont="1" applyFill="1" applyBorder="1" applyAlignment="1">
      <alignment horizontal="center" vertical="center" wrapText="1"/>
      <protection/>
    </xf>
    <xf numFmtId="0" fontId="14" fillId="33" borderId="11" xfId="59" applyFont="1" applyFill="1" applyBorder="1" applyAlignment="1">
      <alignment horizontal="center" vertical="center" textRotation="90" wrapText="1"/>
      <protection/>
    </xf>
    <xf numFmtId="0" fontId="14" fillId="33" borderId="15" xfId="59" applyFont="1" applyFill="1" applyBorder="1" applyAlignment="1">
      <alignment horizontal="center" vertical="center" textRotation="90" wrapText="1"/>
      <protection/>
    </xf>
    <xf numFmtId="0" fontId="14" fillId="33" borderId="36" xfId="60" applyFont="1" applyFill="1" applyBorder="1" applyAlignment="1">
      <alignment horizontal="center" vertical="center" wrapText="1"/>
      <protection/>
    </xf>
    <xf numFmtId="0" fontId="14" fillId="33" borderId="41" xfId="60" applyFont="1" applyFill="1" applyBorder="1" applyAlignment="1">
      <alignment horizontal="center" vertical="center" wrapText="1"/>
      <protection/>
    </xf>
    <xf numFmtId="0" fontId="14" fillId="33" borderId="37" xfId="60" applyFont="1" applyFill="1" applyBorder="1" applyAlignment="1">
      <alignment horizontal="center" vertical="center" wrapText="1"/>
      <protection/>
    </xf>
    <xf numFmtId="0" fontId="14" fillId="33" borderId="43" xfId="60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8" borderId="34" xfId="0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textRotation="90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49" fontId="17" fillId="5" borderId="34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textRotation="90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7" fillId="33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38" borderId="44" xfId="0" applyFont="1" applyFill="1" applyBorder="1" applyAlignment="1">
      <alignment horizontal="center" vertical="center" wrapText="1"/>
    </xf>
    <xf numFmtId="0" fontId="8" fillId="38" borderId="45" xfId="0" applyFont="1" applyFill="1" applyBorder="1" applyAlignment="1">
      <alignment horizontal="center" vertical="center" wrapText="1"/>
    </xf>
    <xf numFmtId="0" fontId="8" fillId="38" borderId="4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9" fillId="38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48" xfId="0" applyFont="1" applyFill="1" applyBorder="1" applyAlignment="1">
      <alignment horizontal="center" vertical="center" wrapText="1"/>
    </xf>
    <xf numFmtId="0" fontId="13" fillId="39" borderId="4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8" borderId="3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3" borderId="40" xfId="0" applyNumberFormat="1" applyFont="1" applyFill="1" applyBorder="1" applyAlignment="1">
      <alignment horizontal="center" vertical="center" wrapText="1"/>
    </xf>
    <xf numFmtId="49" fontId="10" fillId="33" borderId="2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33" borderId="4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0" fillId="33" borderId="15" xfId="0" applyFont="1" applyFill="1" applyBorder="1" applyAlignment="1">
      <alignment horizontal="center" vertical="center" wrapText="1"/>
    </xf>
    <xf numFmtId="0" fontId="13" fillId="38" borderId="3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wrapText="1"/>
    </xf>
    <xf numFmtId="0" fontId="0" fillId="33" borderId="35" xfId="0" applyFont="1" applyFill="1" applyBorder="1" applyAlignment="1">
      <alignment horizontal="center" vertical="center" wrapText="1"/>
    </xf>
    <xf numFmtId="0" fontId="9" fillId="38" borderId="34" xfId="0" applyFont="1" applyFill="1" applyBorder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 2" xfId="57"/>
    <cellStyle name="Normál_adósság régi tábla" xfId="58"/>
    <cellStyle name="Normál_Csilla1" xfId="59"/>
    <cellStyle name="Normál_Lalának-adósság új szerint 245-290" xfId="60"/>
    <cellStyle name="Normál_Melléklet-5_III_1 számú (1)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23"/>
  <sheetViews>
    <sheetView view="pageBreakPreview" zoomScale="70" zoomScaleNormal="70" zoomScaleSheetLayoutView="70" zoomScalePageLayoutView="0" workbookViewId="0" topLeftCell="A1">
      <pane xSplit="3" ySplit="9" topLeftCell="I6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U1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57.140625" style="0" customWidth="1"/>
    <col min="4" max="4" width="26.57421875" style="0" customWidth="1"/>
    <col min="5" max="5" width="21.00390625" style="0" bestFit="1" customWidth="1"/>
    <col min="6" max="6" width="18.7109375" style="0" customWidth="1"/>
    <col min="7" max="7" width="21.7109375" style="0" bestFit="1" customWidth="1"/>
    <col min="8" max="8" width="18.7109375" style="0" customWidth="1"/>
    <col min="9" max="9" width="22.421875" style="0" bestFit="1" customWidth="1"/>
    <col min="10" max="10" width="22.8515625" style="0" customWidth="1"/>
    <col min="11" max="11" width="21.28125" style="0" bestFit="1" customWidth="1"/>
    <col min="12" max="12" width="22.8515625" style="0" bestFit="1" customWidth="1"/>
    <col min="13" max="13" width="26.57421875" style="0" customWidth="1"/>
    <col min="14" max="14" width="21.00390625" style="0" bestFit="1" customWidth="1"/>
    <col min="15" max="15" width="18.7109375" style="0" customWidth="1"/>
    <col min="16" max="16" width="21.7109375" style="0" bestFit="1" customWidth="1"/>
    <col min="17" max="17" width="18.7109375" style="0" customWidth="1"/>
    <col min="18" max="18" width="22.421875" style="0" bestFit="1" customWidth="1"/>
    <col min="19" max="19" width="22.8515625" style="0" customWidth="1"/>
    <col min="20" max="20" width="21.28125" style="0" bestFit="1" customWidth="1"/>
    <col min="21" max="21" width="22.8515625" style="0" bestFit="1" customWidth="1"/>
  </cols>
  <sheetData>
    <row r="1" spans="1:21" s="1" customFormat="1" ht="18">
      <c r="A1" s="347" t="s">
        <v>1553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</row>
    <row r="2" spans="1:21" s="1" customFormat="1" ht="18">
      <c r="A2" s="358" t="s">
        <v>1527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</row>
    <row r="3" spans="1:21" s="1" customFormat="1" ht="41.25" customHeight="1">
      <c r="A3" s="348" t="s">
        <v>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</row>
    <row r="4" spans="1:21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86"/>
      <c r="M4" s="2"/>
      <c r="N4" s="2"/>
      <c r="O4" s="2"/>
      <c r="P4" s="2"/>
      <c r="Q4" s="2"/>
      <c r="R4" s="2"/>
      <c r="S4" s="2"/>
      <c r="T4" s="2"/>
      <c r="U4" s="186"/>
    </row>
    <row r="5" spans="1:21" s="1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3"/>
      <c r="N5" s="3"/>
      <c r="O5" s="3"/>
      <c r="P5" s="3"/>
      <c r="Q5" s="3"/>
      <c r="R5" s="3"/>
      <c r="S5" s="3"/>
      <c r="T5" s="3"/>
      <c r="U5" s="3" t="s">
        <v>1</v>
      </c>
    </row>
    <row r="6" spans="1:21" s="1" customFormat="1" ht="12.7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168" t="s">
        <v>14</v>
      </c>
      <c r="N6" s="168" t="s">
        <v>15</v>
      </c>
      <c r="O6" s="168" t="s">
        <v>16</v>
      </c>
      <c r="P6" s="168" t="s">
        <v>17</v>
      </c>
      <c r="Q6" s="168" t="s">
        <v>18</v>
      </c>
      <c r="R6" s="168" t="s">
        <v>19</v>
      </c>
      <c r="S6" s="168" t="s">
        <v>20</v>
      </c>
      <c r="T6" s="168" t="s">
        <v>21</v>
      </c>
      <c r="U6" s="204" t="s">
        <v>22</v>
      </c>
    </row>
    <row r="7" spans="1:21" s="8" customFormat="1" ht="16.5" customHeight="1">
      <c r="A7" s="354" t="s">
        <v>23</v>
      </c>
      <c r="B7" s="354" t="s">
        <v>24</v>
      </c>
      <c r="C7" s="355" t="s">
        <v>25</v>
      </c>
      <c r="D7" s="349" t="s">
        <v>1099</v>
      </c>
      <c r="E7" s="350" t="s">
        <v>26</v>
      </c>
      <c r="F7" s="350"/>
      <c r="G7" s="350"/>
      <c r="H7" s="350"/>
      <c r="I7" s="350"/>
      <c r="J7" s="350"/>
      <c r="K7" s="350"/>
      <c r="L7" s="350"/>
      <c r="M7" s="345" t="s">
        <v>1526</v>
      </c>
      <c r="N7" s="345" t="s">
        <v>1525</v>
      </c>
      <c r="O7" s="345"/>
      <c r="P7" s="345"/>
      <c r="Q7" s="345"/>
      <c r="R7" s="345"/>
      <c r="S7" s="345"/>
      <c r="T7" s="345"/>
      <c r="U7" s="345"/>
    </row>
    <row r="8" spans="1:21" s="8" customFormat="1" ht="19.5" customHeight="1">
      <c r="A8" s="354"/>
      <c r="B8" s="354"/>
      <c r="C8" s="355"/>
      <c r="D8" s="349"/>
      <c r="E8" s="351" t="s">
        <v>27</v>
      </c>
      <c r="F8" s="351"/>
      <c r="G8" s="351"/>
      <c r="H8" s="351"/>
      <c r="I8" s="351"/>
      <c r="J8" s="351" t="s">
        <v>28</v>
      </c>
      <c r="K8" s="351"/>
      <c r="L8" s="351"/>
      <c r="M8" s="345"/>
      <c r="N8" s="346" t="s">
        <v>27</v>
      </c>
      <c r="O8" s="346"/>
      <c r="P8" s="346"/>
      <c r="Q8" s="346"/>
      <c r="R8" s="346"/>
      <c r="S8" s="346" t="s">
        <v>28</v>
      </c>
      <c r="T8" s="346"/>
      <c r="U8" s="346"/>
    </row>
    <row r="9" spans="1:21" s="8" customFormat="1" ht="92.25" customHeight="1" thickBot="1">
      <c r="A9" s="354"/>
      <c r="B9" s="354"/>
      <c r="C9" s="355"/>
      <c r="D9" s="349"/>
      <c r="E9" s="9" t="s">
        <v>29</v>
      </c>
      <c r="F9" s="9" t="s">
        <v>30</v>
      </c>
      <c r="G9" s="9" t="s">
        <v>31</v>
      </c>
      <c r="H9" s="9" t="s">
        <v>32</v>
      </c>
      <c r="I9" s="9" t="s">
        <v>33</v>
      </c>
      <c r="J9" s="9" t="s">
        <v>34</v>
      </c>
      <c r="K9" s="9" t="s">
        <v>35</v>
      </c>
      <c r="L9" s="9" t="s">
        <v>36</v>
      </c>
      <c r="M9" s="345"/>
      <c r="N9" s="169" t="s">
        <v>29</v>
      </c>
      <c r="O9" s="169" t="s">
        <v>30</v>
      </c>
      <c r="P9" s="169" t="s">
        <v>31</v>
      </c>
      <c r="Q9" s="169" t="s">
        <v>32</v>
      </c>
      <c r="R9" s="169" t="s">
        <v>33</v>
      </c>
      <c r="S9" s="169" t="s">
        <v>34</v>
      </c>
      <c r="T9" s="169" t="s">
        <v>35</v>
      </c>
      <c r="U9" s="169" t="s">
        <v>36</v>
      </c>
    </row>
    <row r="10" spans="1:22" s="8" customFormat="1" ht="18" customHeight="1">
      <c r="A10" s="10" t="s">
        <v>37</v>
      </c>
      <c r="B10" s="352" t="s">
        <v>38</v>
      </c>
      <c r="C10" s="352"/>
      <c r="D10" s="11">
        <f>SUM(E10:L10)</f>
        <v>260281250</v>
      </c>
      <c r="E10" s="11">
        <f aca="true" t="shared" si="0" ref="E10:L10">SUM(E11:E13)</f>
        <v>0</v>
      </c>
      <c r="F10" s="11">
        <f t="shared" si="0"/>
        <v>0</v>
      </c>
      <c r="G10" s="11">
        <f t="shared" si="0"/>
        <v>260281250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aca="true" t="shared" si="1" ref="M10:M15">SUM(N10:U10)</f>
        <v>260281250</v>
      </c>
      <c r="N10" s="11">
        <f aca="true" t="shared" si="2" ref="N10:U10">SUM(N11:N13)</f>
        <v>0</v>
      </c>
      <c r="O10" s="11">
        <f t="shared" si="2"/>
        <v>0</v>
      </c>
      <c r="P10" s="11">
        <f t="shared" si="2"/>
        <v>260281250</v>
      </c>
      <c r="Q10" s="11">
        <f t="shared" si="2"/>
        <v>0</v>
      </c>
      <c r="R10" s="11">
        <f t="shared" si="2"/>
        <v>0</v>
      </c>
      <c r="S10" s="11">
        <f t="shared" si="2"/>
        <v>0</v>
      </c>
      <c r="T10" s="11">
        <f t="shared" si="2"/>
        <v>0</v>
      </c>
      <c r="U10" s="11">
        <f t="shared" si="2"/>
        <v>0</v>
      </c>
      <c r="V10" s="8">
        <f>SUM(V11:V13)</f>
        <v>0</v>
      </c>
    </row>
    <row r="11" spans="1:22" s="8" customFormat="1" ht="18.75" thickBot="1">
      <c r="A11" s="353"/>
      <c r="B11" s="12" t="s">
        <v>39</v>
      </c>
      <c r="C11" s="13" t="s">
        <v>40</v>
      </c>
      <c r="D11" s="14">
        <f>SUM(E11:L11)</f>
        <v>260281250</v>
      </c>
      <c r="E11" s="15">
        <v>0</v>
      </c>
      <c r="F11" s="16">
        <v>0</v>
      </c>
      <c r="G11" s="16">
        <f>'5.1 D'!N18</f>
        <v>260281250</v>
      </c>
      <c r="H11" s="16">
        <v>0</v>
      </c>
      <c r="I11" s="16">
        <v>0</v>
      </c>
      <c r="J11" s="16">
        <v>0</v>
      </c>
      <c r="K11" s="16">
        <v>0</v>
      </c>
      <c r="L11" s="17">
        <v>0</v>
      </c>
      <c r="M11" s="14">
        <f t="shared" si="1"/>
        <v>260281250</v>
      </c>
      <c r="N11" s="15">
        <v>0</v>
      </c>
      <c r="O11" s="16">
        <v>0</v>
      </c>
      <c r="P11" s="16">
        <f>'5.1 D'!R18</f>
        <v>260281250</v>
      </c>
      <c r="Q11" s="16">
        <v>0</v>
      </c>
      <c r="R11" s="16">
        <v>0</v>
      </c>
      <c r="S11" s="16">
        <v>0</v>
      </c>
      <c r="T11" s="16">
        <v>0</v>
      </c>
      <c r="U11" s="17">
        <v>0</v>
      </c>
      <c r="V11" s="8">
        <v>0</v>
      </c>
    </row>
    <row r="12" spans="1:22" s="8" customFormat="1" ht="18.75" thickBot="1">
      <c r="A12" s="353"/>
      <c r="B12" s="18" t="s">
        <v>41</v>
      </c>
      <c r="C12" s="19" t="s">
        <v>42</v>
      </c>
      <c r="D12" s="14">
        <f aca="true" t="shared" si="3" ref="D12:D75">SUM(E12:L12)</f>
        <v>0</v>
      </c>
      <c r="E12" s="20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14">
        <f t="shared" si="1"/>
        <v>0</v>
      </c>
      <c r="N12" s="20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2">
        <v>0</v>
      </c>
      <c r="V12" s="8">
        <v>0</v>
      </c>
    </row>
    <row r="13" spans="1:22" s="8" customFormat="1" ht="18.75" thickBot="1">
      <c r="A13" s="353"/>
      <c r="B13" s="12" t="s">
        <v>43</v>
      </c>
      <c r="C13" s="23" t="s">
        <v>44</v>
      </c>
      <c r="D13" s="14">
        <f t="shared" si="3"/>
        <v>0</v>
      </c>
      <c r="E13" s="25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7">
        <v>0</v>
      </c>
      <c r="M13" s="14">
        <f t="shared" si="1"/>
        <v>0</v>
      </c>
      <c r="N13" s="25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7">
        <v>0</v>
      </c>
      <c r="V13" s="8">
        <v>0</v>
      </c>
    </row>
    <row r="14" spans="1:22" s="8" customFormat="1" ht="66.75" customHeight="1">
      <c r="A14" s="10" t="s">
        <v>45</v>
      </c>
      <c r="B14" s="352" t="s">
        <v>46</v>
      </c>
      <c r="C14" s="352"/>
      <c r="D14" s="14">
        <f t="shared" si="3"/>
        <v>278555921</v>
      </c>
      <c r="E14" s="11">
        <f aca="true" t="shared" si="4" ref="E14:L14">SUM(E15:E17)</f>
        <v>204633000</v>
      </c>
      <c r="F14" s="11">
        <f t="shared" si="4"/>
        <v>39759000</v>
      </c>
      <c r="G14" s="11">
        <f t="shared" si="4"/>
        <v>14163921</v>
      </c>
      <c r="H14" s="11">
        <f t="shared" si="4"/>
        <v>0</v>
      </c>
      <c r="I14" s="11">
        <f t="shared" si="4"/>
        <v>0</v>
      </c>
      <c r="J14" s="11">
        <f t="shared" si="4"/>
        <v>20000000</v>
      </c>
      <c r="K14" s="11">
        <f t="shared" si="4"/>
        <v>0</v>
      </c>
      <c r="L14" s="11">
        <f t="shared" si="4"/>
        <v>0</v>
      </c>
      <c r="M14" s="14">
        <f t="shared" si="1"/>
        <v>278555921</v>
      </c>
      <c r="N14" s="11">
        <f aca="true" t="shared" si="5" ref="N14:U14">SUM(N15:N17)</f>
        <v>204633000</v>
      </c>
      <c r="O14" s="11">
        <f t="shared" si="5"/>
        <v>39759000</v>
      </c>
      <c r="P14" s="11">
        <f t="shared" si="5"/>
        <v>14163921</v>
      </c>
      <c r="Q14" s="11">
        <f t="shared" si="5"/>
        <v>0</v>
      </c>
      <c r="R14" s="11">
        <f t="shared" si="5"/>
        <v>0</v>
      </c>
      <c r="S14" s="11">
        <f t="shared" si="5"/>
        <v>20000000</v>
      </c>
      <c r="T14" s="11">
        <f t="shared" si="5"/>
        <v>0</v>
      </c>
      <c r="U14" s="11">
        <f t="shared" si="5"/>
        <v>0</v>
      </c>
      <c r="V14" s="8">
        <f>SUM(V15:V17)</f>
        <v>0</v>
      </c>
    </row>
    <row r="15" spans="1:22" s="8" customFormat="1" ht="18.75" thickBot="1">
      <c r="A15" s="353"/>
      <c r="B15" s="12" t="s">
        <v>47</v>
      </c>
      <c r="C15" s="19" t="s">
        <v>40</v>
      </c>
      <c r="D15" s="14">
        <f>SUM(E15:L15)</f>
        <v>244392000</v>
      </c>
      <c r="E15" s="20">
        <v>204633000</v>
      </c>
      <c r="F15" s="20">
        <v>39759000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7">
        <v>0</v>
      </c>
      <c r="M15" s="14">
        <f t="shared" si="1"/>
        <v>244392000</v>
      </c>
      <c r="N15" s="20">
        <v>204633000</v>
      </c>
      <c r="O15" s="20">
        <v>39759000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17">
        <v>0</v>
      </c>
      <c r="V15" s="8">
        <v>0</v>
      </c>
    </row>
    <row r="16" spans="1:22" s="8" customFormat="1" ht="18.75" thickBot="1">
      <c r="A16" s="353"/>
      <c r="B16" s="12" t="s">
        <v>48</v>
      </c>
      <c r="C16" s="19" t="s">
        <v>42</v>
      </c>
      <c r="D16" s="14">
        <f t="shared" si="3"/>
        <v>34163921</v>
      </c>
      <c r="E16" s="20">
        <v>0</v>
      </c>
      <c r="F16" s="20">
        <v>0</v>
      </c>
      <c r="G16" s="20">
        <f>250921+13913000</f>
        <v>14163921</v>
      </c>
      <c r="H16" s="20">
        <v>0</v>
      </c>
      <c r="I16" s="20">
        <v>0</v>
      </c>
      <c r="J16" s="20">
        <v>20000000</v>
      </c>
      <c r="K16" s="20">
        <v>0</v>
      </c>
      <c r="L16" s="22">
        <v>0</v>
      </c>
      <c r="M16" s="14">
        <f aca="true" t="shared" si="6" ref="M16:M79">SUM(N16:U16)</f>
        <v>34163921</v>
      </c>
      <c r="N16" s="20">
        <v>0</v>
      </c>
      <c r="O16" s="20">
        <v>0</v>
      </c>
      <c r="P16" s="20">
        <f>250921+13913000</f>
        <v>14163921</v>
      </c>
      <c r="Q16" s="20">
        <v>0</v>
      </c>
      <c r="R16" s="20">
        <v>0</v>
      </c>
      <c r="S16" s="20">
        <v>20000000</v>
      </c>
      <c r="T16" s="20">
        <v>0</v>
      </c>
      <c r="U16" s="22">
        <v>0</v>
      </c>
      <c r="V16" s="8">
        <v>0</v>
      </c>
    </row>
    <row r="17" spans="1:22" s="8" customFormat="1" ht="18.75" thickBot="1">
      <c r="A17" s="353"/>
      <c r="B17" s="12" t="s">
        <v>49</v>
      </c>
      <c r="C17" s="28" t="s">
        <v>44</v>
      </c>
      <c r="D17" s="14">
        <f t="shared" si="3"/>
        <v>0</v>
      </c>
      <c r="E17" s="25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7">
        <v>0</v>
      </c>
      <c r="M17" s="14">
        <f t="shared" si="6"/>
        <v>0</v>
      </c>
      <c r="N17" s="25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7">
        <v>0</v>
      </c>
      <c r="V17" s="8">
        <v>0</v>
      </c>
    </row>
    <row r="18" spans="1:22" s="8" customFormat="1" ht="18" customHeight="1">
      <c r="A18" s="10" t="s">
        <v>50</v>
      </c>
      <c r="B18" s="352" t="s">
        <v>51</v>
      </c>
      <c r="C18" s="352"/>
      <c r="D18" s="14">
        <f t="shared" si="3"/>
        <v>3237419012</v>
      </c>
      <c r="E18" s="11">
        <f>SUM(E19:E21)</f>
        <v>0</v>
      </c>
      <c r="F18" s="11">
        <f aca="true" t="shared" si="7" ref="F18:L18">SUM(F19:F21)</f>
        <v>0</v>
      </c>
      <c r="G18" s="11">
        <f t="shared" si="7"/>
        <v>3134624614</v>
      </c>
      <c r="H18" s="11">
        <f t="shared" si="7"/>
        <v>0</v>
      </c>
      <c r="I18" s="11">
        <f t="shared" si="7"/>
        <v>91309804</v>
      </c>
      <c r="J18" s="11">
        <f t="shared" si="7"/>
        <v>11484594</v>
      </c>
      <c r="K18" s="11">
        <f t="shared" si="7"/>
        <v>0</v>
      </c>
      <c r="L18" s="11">
        <f t="shared" si="7"/>
        <v>0</v>
      </c>
      <c r="M18" s="14">
        <f t="shared" si="6"/>
        <v>3237419012</v>
      </c>
      <c r="N18" s="11">
        <f>SUM(N19:N21)</f>
        <v>0</v>
      </c>
      <c r="O18" s="11">
        <f aca="true" t="shared" si="8" ref="O18:U18">SUM(O19:O21)</f>
        <v>0</v>
      </c>
      <c r="P18" s="11">
        <f t="shared" si="8"/>
        <v>3134624614</v>
      </c>
      <c r="Q18" s="11">
        <f t="shared" si="8"/>
        <v>0</v>
      </c>
      <c r="R18" s="11">
        <f t="shared" si="8"/>
        <v>91309804</v>
      </c>
      <c r="S18" s="11">
        <f t="shared" si="8"/>
        <v>11484594</v>
      </c>
      <c r="T18" s="11">
        <f t="shared" si="8"/>
        <v>0</v>
      </c>
      <c r="U18" s="11">
        <f t="shared" si="8"/>
        <v>0</v>
      </c>
      <c r="V18" s="8" t="e">
        <f>SUM(V19:V21)</f>
        <v>#REF!</v>
      </c>
    </row>
    <row r="19" spans="1:22" s="8" customFormat="1" ht="18.75" thickBot="1">
      <c r="A19" s="353"/>
      <c r="B19" s="12" t="s">
        <v>52</v>
      </c>
      <c r="C19" s="19" t="s">
        <v>40</v>
      </c>
      <c r="D19" s="14">
        <f t="shared" si="3"/>
        <v>2883163294</v>
      </c>
      <c r="E19" s="15">
        <f>'5.2.Városüzem'!E10</f>
        <v>0</v>
      </c>
      <c r="F19" s="15">
        <f>'5.2.Városüzem'!F10</f>
        <v>0</v>
      </c>
      <c r="G19" s="15">
        <f>'5.2.Városüzem'!G10</f>
        <v>2791332790</v>
      </c>
      <c r="H19" s="15">
        <f>'5.2.Városüzem'!H10</f>
        <v>0</v>
      </c>
      <c r="I19" s="15">
        <f>'5.2.Városüzem'!I10</f>
        <v>91309804</v>
      </c>
      <c r="J19" s="15">
        <f>'5.2.Városüzem'!J10</f>
        <v>520700</v>
      </c>
      <c r="K19" s="15">
        <f>'5.2.Városüzem'!K10</f>
        <v>0</v>
      </c>
      <c r="L19" s="15">
        <f>'5.2.Városüzem'!L10</f>
        <v>0</v>
      </c>
      <c r="M19" s="14">
        <f t="shared" si="6"/>
        <v>2883163294</v>
      </c>
      <c r="N19" s="15">
        <f>'5.2.Városüzem'!N10</f>
        <v>0</v>
      </c>
      <c r="O19" s="15">
        <f>'5.2.Városüzem'!O10</f>
        <v>0</v>
      </c>
      <c r="P19" s="15">
        <f>'5.2.Városüzem'!P10</f>
        <v>2791332790</v>
      </c>
      <c r="Q19" s="15">
        <f>'5.2.Városüzem'!Q10</f>
        <v>0</v>
      </c>
      <c r="R19" s="15">
        <f>'5.2.Városüzem'!R10</f>
        <v>91309804</v>
      </c>
      <c r="S19" s="15">
        <f>'5.2.Városüzem'!S10</f>
        <v>520700</v>
      </c>
      <c r="T19" s="15">
        <f>'5.2.Városüzem'!T10</f>
        <v>0</v>
      </c>
      <c r="U19" s="15">
        <f>'5.2.Városüzem'!U10</f>
        <v>0</v>
      </c>
      <c r="V19" s="8" t="e">
        <f>'5.2.Városüzem'!#REF!</f>
        <v>#REF!</v>
      </c>
    </row>
    <row r="20" spans="1:22" s="8" customFormat="1" ht="18.75" thickBot="1">
      <c r="A20" s="353"/>
      <c r="B20" s="12" t="s">
        <v>53</v>
      </c>
      <c r="C20" s="19" t="s">
        <v>42</v>
      </c>
      <c r="D20" s="14">
        <f t="shared" si="3"/>
        <v>354255718</v>
      </c>
      <c r="E20" s="20">
        <f>'5.2.Városüzem'!E33</f>
        <v>0</v>
      </c>
      <c r="F20" s="20">
        <f>'5.2.Városüzem'!F33</f>
        <v>0</v>
      </c>
      <c r="G20" s="20">
        <f>'5.2.Városüzem'!G33</f>
        <v>343291824</v>
      </c>
      <c r="H20" s="20">
        <f>'5.2.Városüzem'!H33</f>
        <v>0</v>
      </c>
      <c r="I20" s="20">
        <f>'5.2.Városüzem'!I33</f>
        <v>0</v>
      </c>
      <c r="J20" s="20">
        <f>'5.2.Városüzem'!J33</f>
        <v>10963894</v>
      </c>
      <c r="K20" s="20">
        <f>'5.2.Városüzem'!K33</f>
        <v>0</v>
      </c>
      <c r="L20" s="20">
        <f>'5.2.Városüzem'!L33</f>
        <v>0</v>
      </c>
      <c r="M20" s="14">
        <f t="shared" si="6"/>
        <v>354255718</v>
      </c>
      <c r="N20" s="20">
        <f>'5.2.Városüzem'!N33</f>
        <v>0</v>
      </c>
      <c r="O20" s="20">
        <f>'5.2.Városüzem'!O33</f>
        <v>0</v>
      </c>
      <c r="P20" s="20">
        <f>'5.2.Városüzem'!P33</f>
        <v>343291824</v>
      </c>
      <c r="Q20" s="20">
        <f>'5.2.Városüzem'!Q33</f>
        <v>0</v>
      </c>
      <c r="R20" s="20">
        <f>'5.2.Városüzem'!R33</f>
        <v>0</v>
      </c>
      <c r="S20" s="20">
        <f>'5.2.Városüzem'!S33</f>
        <v>10963894</v>
      </c>
      <c r="T20" s="20">
        <f>'5.2.Városüzem'!T33</f>
        <v>0</v>
      </c>
      <c r="U20" s="20">
        <f>'5.2.Városüzem'!U33</f>
        <v>0</v>
      </c>
      <c r="V20" s="8" t="e">
        <f>'5.2.Városüzem'!#REF!</f>
        <v>#REF!</v>
      </c>
    </row>
    <row r="21" spans="1:22" s="8" customFormat="1" ht="18.75" thickBot="1">
      <c r="A21" s="353"/>
      <c r="B21" s="12" t="s">
        <v>54</v>
      </c>
      <c r="C21" s="28" t="s">
        <v>44</v>
      </c>
      <c r="D21" s="14">
        <f t="shared" si="3"/>
        <v>0</v>
      </c>
      <c r="E21" s="25">
        <f>'5.2.Városüzem'!E50</f>
        <v>0</v>
      </c>
      <c r="F21" s="25">
        <f>'5.2.Városüzem'!F50</f>
        <v>0</v>
      </c>
      <c r="G21" s="25">
        <f>'5.2.Városüzem'!G50</f>
        <v>0</v>
      </c>
      <c r="H21" s="25">
        <f>'5.2.Városüzem'!H50</f>
        <v>0</v>
      </c>
      <c r="I21" s="25">
        <f>'5.2.Városüzem'!I50</f>
        <v>0</v>
      </c>
      <c r="J21" s="25">
        <f>'5.2.Városüzem'!J50</f>
        <v>0</v>
      </c>
      <c r="K21" s="25">
        <f>'5.2.Városüzem'!K50</f>
        <v>0</v>
      </c>
      <c r="L21" s="25">
        <f>'5.2.Városüzem'!L50</f>
        <v>0</v>
      </c>
      <c r="M21" s="14">
        <f t="shared" si="6"/>
        <v>0</v>
      </c>
      <c r="N21" s="25">
        <f>'5.2.Városüzem'!N50</f>
        <v>0</v>
      </c>
      <c r="O21" s="25">
        <f>'5.2.Városüzem'!O50</f>
        <v>0</v>
      </c>
      <c r="P21" s="25">
        <f>'5.2.Városüzem'!P50</f>
        <v>0</v>
      </c>
      <c r="Q21" s="25">
        <f>'5.2.Városüzem'!Q50</f>
        <v>0</v>
      </c>
      <c r="R21" s="25">
        <f>'5.2.Városüzem'!R50</f>
        <v>0</v>
      </c>
      <c r="S21" s="25">
        <f>'5.2.Városüzem'!S50</f>
        <v>0</v>
      </c>
      <c r="T21" s="25">
        <f>'5.2.Városüzem'!T50</f>
        <v>0</v>
      </c>
      <c r="U21" s="25">
        <f>'5.2.Városüzem'!U50</f>
        <v>0</v>
      </c>
      <c r="V21" s="8" t="e">
        <f>'5.2.Városüzem'!#REF!</f>
        <v>#REF!</v>
      </c>
    </row>
    <row r="22" spans="1:22" s="8" customFormat="1" ht="18" customHeight="1">
      <c r="A22" s="10" t="s">
        <v>55</v>
      </c>
      <c r="B22" s="352" t="s">
        <v>56</v>
      </c>
      <c r="C22" s="352"/>
      <c r="D22" s="14">
        <f t="shared" si="3"/>
        <v>1610221113</v>
      </c>
      <c r="E22" s="11">
        <f aca="true" t="shared" si="9" ref="E22:L22">SUM(E23:E25)</f>
        <v>0</v>
      </c>
      <c r="F22" s="11">
        <f t="shared" si="9"/>
        <v>0</v>
      </c>
      <c r="G22" s="11">
        <f t="shared" si="9"/>
        <v>1394091968</v>
      </c>
      <c r="H22" s="11">
        <f t="shared" si="9"/>
        <v>0</v>
      </c>
      <c r="I22" s="11">
        <f t="shared" si="9"/>
        <v>99450000</v>
      </c>
      <c r="J22" s="11">
        <f t="shared" si="9"/>
        <v>115155145</v>
      </c>
      <c r="K22" s="11">
        <f t="shared" si="9"/>
        <v>1524000</v>
      </c>
      <c r="L22" s="11">
        <f t="shared" si="9"/>
        <v>0</v>
      </c>
      <c r="M22" s="14">
        <f t="shared" si="6"/>
        <v>1610221113</v>
      </c>
      <c r="N22" s="11">
        <f aca="true" t="shared" si="10" ref="N22:U22">SUM(N23:N25)</f>
        <v>0</v>
      </c>
      <c r="O22" s="11">
        <f t="shared" si="10"/>
        <v>0</v>
      </c>
      <c r="P22" s="11">
        <f t="shared" si="10"/>
        <v>1394091968</v>
      </c>
      <c r="Q22" s="11">
        <f t="shared" si="10"/>
        <v>0</v>
      </c>
      <c r="R22" s="11">
        <f t="shared" si="10"/>
        <v>99450000</v>
      </c>
      <c r="S22" s="11">
        <f t="shared" si="10"/>
        <v>115155145</v>
      </c>
      <c r="T22" s="11">
        <f t="shared" si="10"/>
        <v>1524000</v>
      </c>
      <c r="U22" s="11">
        <f t="shared" si="10"/>
        <v>0</v>
      </c>
      <c r="V22" s="8">
        <f>SUM(V23:V25)</f>
        <v>0</v>
      </c>
    </row>
    <row r="23" spans="1:22" s="8" customFormat="1" ht="18.75" thickBot="1">
      <c r="A23" s="353"/>
      <c r="B23" s="12" t="s">
        <v>57</v>
      </c>
      <c r="C23" s="19" t="s">
        <v>40</v>
      </c>
      <c r="D23" s="14">
        <f t="shared" si="3"/>
        <v>1202784984</v>
      </c>
      <c r="E23" s="15">
        <f>'5.3. Zöldterületi kiadások'!E10</f>
        <v>0</v>
      </c>
      <c r="F23" s="15">
        <f>'5.3. Zöldterületi kiadások'!F10</f>
        <v>0</v>
      </c>
      <c r="G23" s="15">
        <f>'5.3. Zöldterületi kiadások'!G10</f>
        <v>1202784984</v>
      </c>
      <c r="H23" s="15">
        <f>'5.3. Zöldterületi kiadások'!H10</f>
        <v>0</v>
      </c>
      <c r="I23" s="15">
        <f>'5.3. Zöldterületi kiadások'!I10</f>
        <v>0</v>
      </c>
      <c r="J23" s="15">
        <f>'5.3. Zöldterületi kiadások'!J10</f>
        <v>0</v>
      </c>
      <c r="K23" s="15">
        <f>'5.3. Zöldterületi kiadások'!K10</f>
        <v>0</v>
      </c>
      <c r="L23" s="15">
        <f>'5.3. Zöldterületi kiadások'!L10</f>
        <v>0</v>
      </c>
      <c r="M23" s="14">
        <f t="shared" si="6"/>
        <v>1202784984</v>
      </c>
      <c r="N23" s="15">
        <f>'5.3. Zöldterületi kiadások'!N10</f>
        <v>0</v>
      </c>
      <c r="O23" s="15">
        <f>'5.3. Zöldterületi kiadások'!O10</f>
        <v>0</v>
      </c>
      <c r="P23" s="15">
        <f>'5.3. Zöldterületi kiadások'!P10</f>
        <v>1202784984</v>
      </c>
      <c r="Q23" s="15">
        <f>'5.3. Zöldterületi kiadások'!Q10</f>
        <v>0</v>
      </c>
      <c r="R23" s="15">
        <f>'5.3. Zöldterületi kiadások'!R10</f>
        <v>0</v>
      </c>
      <c r="S23" s="15">
        <f>'5.3. Zöldterületi kiadások'!S10</f>
        <v>0</v>
      </c>
      <c r="T23" s="15">
        <f>'5.3. Zöldterületi kiadások'!T10</f>
        <v>0</v>
      </c>
      <c r="U23" s="15">
        <f>'5.3. Zöldterületi kiadások'!U10</f>
        <v>0</v>
      </c>
      <c r="V23" s="8">
        <f>'5.3. Zöldterületi kiadások'!AE10</f>
        <v>0</v>
      </c>
    </row>
    <row r="24" spans="1:22" s="8" customFormat="1" ht="18.75" thickBot="1">
      <c r="A24" s="353"/>
      <c r="B24" s="12" t="s">
        <v>58</v>
      </c>
      <c r="C24" s="19" t="s">
        <v>42</v>
      </c>
      <c r="D24" s="14">
        <f t="shared" si="3"/>
        <v>407436129</v>
      </c>
      <c r="E24" s="20">
        <f>'5.3. Zöldterületi kiadások'!E25</f>
        <v>0</v>
      </c>
      <c r="F24" s="20">
        <f>'5.3. Zöldterületi kiadások'!F25</f>
        <v>0</v>
      </c>
      <c r="G24" s="20">
        <f>'5.3. Zöldterületi kiadások'!G25</f>
        <v>191306984</v>
      </c>
      <c r="H24" s="20">
        <f>'5.3. Zöldterületi kiadások'!H25</f>
        <v>0</v>
      </c>
      <c r="I24" s="20">
        <f>'5.3. Zöldterületi kiadások'!I25</f>
        <v>99450000</v>
      </c>
      <c r="J24" s="20">
        <f>'5.3. Zöldterületi kiadások'!J25</f>
        <v>115155145</v>
      </c>
      <c r="K24" s="20">
        <f>'5.3. Zöldterületi kiadások'!K25</f>
        <v>1524000</v>
      </c>
      <c r="L24" s="20">
        <f>'5.3. Zöldterületi kiadások'!L25</f>
        <v>0</v>
      </c>
      <c r="M24" s="14">
        <f t="shared" si="6"/>
        <v>407436129</v>
      </c>
      <c r="N24" s="20">
        <f>'5.3. Zöldterületi kiadások'!N25</f>
        <v>0</v>
      </c>
      <c r="O24" s="20">
        <f>'5.3. Zöldterületi kiadások'!O25</f>
        <v>0</v>
      </c>
      <c r="P24" s="20">
        <f>'5.3. Zöldterületi kiadások'!P25</f>
        <v>191306984</v>
      </c>
      <c r="Q24" s="20">
        <f>'5.3. Zöldterületi kiadások'!Q25</f>
        <v>0</v>
      </c>
      <c r="R24" s="20">
        <f>'5.3. Zöldterületi kiadások'!R25</f>
        <v>99450000</v>
      </c>
      <c r="S24" s="20">
        <f>'5.3. Zöldterületi kiadások'!S25</f>
        <v>115155145</v>
      </c>
      <c r="T24" s="20">
        <f>'5.3. Zöldterületi kiadások'!T25</f>
        <v>1524000</v>
      </c>
      <c r="U24" s="20">
        <f>'5.3. Zöldterületi kiadások'!U25</f>
        <v>0</v>
      </c>
      <c r="V24" s="8">
        <f>'5.3. Zöldterületi kiadások'!AE25</f>
        <v>0</v>
      </c>
    </row>
    <row r="25" spans="1:22" s="8" customFormat="1" ht="18.75" thickBot="1">
      <c r="A25" s="353"/>
      <c r="B25" s="12" t="s">
        <v>59</v>
      </c>
      <c r="C25" s="28" t="s">
        <v>44</v>
      </c>
      <c r="D25" s="210">
        <f t="shared" si="3"/>
        <v>0</v>
      </c>
      <c r="E25" s="25">
        <f>'5.3. Zöldterületi kiadások'!E56</f>
        <v>0</v>
      </c>
      <c r="F25" s="25">
        <f>'5.3. Zöldterületi kiadások'!F56</f>
        <v>0</v>
      </c>
      <c r="G25" s="25">
        <f>'5.3. Zöldterületi kiadások'!G56</f>
        <v>0</v>
      </c>
      <c r="H25" s="25">
        <f>'5.3. Zöldterületi kiadások'!H56</f>
        <v>0</v>
      </c>
      <c r="I25" s="25">
        <f>'5.3. Zöldterületi kiadások'!I56</f>
        <v>0</v>
      </c>
      <c r="J25" s="25">
        <f>'5.3. Zöldterületi kiadások'!J56</f>
        <v>0</v>
      </c>
      <c r="K25" s="25">
        <f>'5.3. Zöldterületi kiadások'!K56</f>
        <v>0</v>
      </c>
      <c r="L25" s="25">
        <f>'5.3. Zöldterületi kiadások'!L56</f>
        <v>0</v>
      </c>
      <c r="M25" s="210">
        <f t="shared" si="6"/>
        <v>0</v>
      </c>
      <c r="N25" s="25">
        <f>'5.3. Zöldterületi kiadások'!N56</f>
        <v>0</v>
      </c>
      <c r="O25" s="25">
        <f>'5.3. Zöldterületi kiadások'!O56</f>
        <v>0</v>
      </c>
      <c r="P25" s="25">
        <f>'5.3. Zöldterületi kiadások'!P56</f>
        <v>0</v>
      </c>
      <c r="Q25" s="25">
        <f>'5.3. Zöldterületi kiadások'!Q56</f>
        <v>0</v>
      </c>
      <c r="R25" s="25">
        <f>'5.3. Zöldterületi kiadások'!R56</f>
        <v>0</v>
      </c>
      <c r="S25" s="25">
        <f>'5.3. Zöldterületi kiadások'!S56</f>
        <v>0</v>
      </c>
      <c r="T25" s="25">
        <f>'5.3. Zöldterületi kiadások'!T56</f>
        <v>0</v>
      </c>
      <c r="U25" s="25">
        <f>'5.3. Zöldterületi kiadások'!U56</f>
        <v>0</v>
      </c>
      <c r="V25" s="8">
        <f>'5.3. Zöldterületi kiadások'!AE56</f>
        <v>0</v>
      </c>
    </row>
    <row r="26" spans="1:22" s="8" customFormat="1" ht="18" customHeight="1">
      <c r="A26" s="10" t="s">
        <v>60</v>
      </c>
      <c r="B26" s="352" t="s">
        <v>61</v>
      </c>
      <c r="C26" s="352"/>
      <c r="D26" s="11">
        <f t="shared" si="3"/>
        <v>85350686725.97</v>
      </c>
      <c r="E26" s="11">
        <f aca="true" t="shared" si="11" ref="E26:L26">SUM(E27:E29)</f>
        <v>0</v>
      </c>
      <c r="F26" s="11">
        <f t="shared" si="11"/>
        <v>0</v>
      </c>
      <c r="G26" s="11">
        <f t="shared" si="11"/>
        <v>1534710415</v>
      </c>
      <c r="H26" s="11">
        <f t="shared" si="11"/>
        <v>0</v>
      </c>
      <c r="I26" s="11">
        <f t="shared" si="11"/>
        <v>0</v>
      </c>
      <c r="J26" s="11">
        <f t="shared" si="11"/>
        <v>77103700722.97</v>
      </c>
      <c r="K26" s="11">
        <f t="shared" si="11"/>
        <v>6712005588</v>
      </c>
      <c r="L26" s="11">
        <f t="shared" si="11"/>
        <v>270000</v>
      </c>
      <c r="M26" s="11">
        <f t="shared" si="6"/>
        <v>85410686725.97</v>
      </c>
      <c r="N26" s="11">
        <f aca="true" t="shared" si="12" ref="N26:U26">SUM(N27:N29)</f>
        <v>0</v>
      </c>
      <c r="O26" s="11">
        <f t="shared" si="12"/>
        <v>0</v>
      </c>
      <c r="P26" s="11">
        <f t="shared" si="12"/>
        <v>1534710415</v>
      </c>
      <c r="Q26" s="11">
        <f t="shared" si="12"/>
        <v>0</v>
      </c>
      <c r="R26" s="11">
        <f t="shared" si="12"/>
        <v>0</v>
      </c>
      <c r="S26" s="11">
        <f t="shared" si="12"/>
        <v>77103700722.97</v>
      </c>
      <c r="T26" s="11">
        <f t="shared" si="12"/>
        <v>6772005588</v>
      </c>
      <c r="U26" s="11">
        <f t="shared" si="12"/>
        <v>270000</v>
      </c>
      <c r="V26" s="8">
        <f>SUM(V27:V29)</f>
        <v>0</v>
      </c>
    </row>
    <row r="27" spans="1:22" s="8" customFormat="1" ht="18.75" thickBot="1">
      <c r="A27" s="353"/>
      <c r="B27" s="12" t="s">
        <v>62</v>
      </c>
      <c r="C27" s="19" t="s">
        <v>40</v>
      </c>
      <c r="D27" s="14">
        <f t="shared" si="3"/>
        <v>0</v>
      </c>
      <c r="E27" s="16">
        <f>'5.4. Beruházás'!F10</f>
        <v>0</v>
      </c>
      <c r="F27" s="16">
        <f>'5.4. Beruházás'!G10</f>
        <v>0</v>
      </c>
      <c r="G27" s="16">
        <f>'5.4. Beruházás'!H10</f>
        <v>0</v>
      </c>
      <c r="H27" s="16">
        <f>'5.4. Beruházás'!I10</f>
        <v>0</v>
      </c>
      <c r="I27" s="16">
        <f>'5.4. Beruházás'!J10</f>
        <v>0</v>
      </c>
      <c r="J27" s="16">
        <f>'5.4. Beruházás'!K10</f>
        <v>0</v>
      </c>
      <c r="K27" s="16">
        <f>'5.4. Beruházás'!L10</f>
        <v>0</v>
      </c>
      <c r="L27" s="29">
        <f>'5.4. Beruházás'!M10</f>
        <v>0</v>
      </c>
      <c r="M27" s="14">
        <f t="shared" si="6"/>
        <v>0</v>
      </c>
      <c r="N27" s="16">
        <f>'5.4. Beruházás'!O10</f>
        <v>0</v>
      </c>
      <c r="O27" s="16">
        <f>'5.4. Beruházás'!P10</f>
        <v>0</v>
      </c>
      <c r="P27" s="16">
        <f>'5.4. Beruházás'!Q10</f>
        <v>0</v>
      </c>
      <c r="Q27" s="16">
        <f>'5.4. Beruházás'!R10</f>
        <v>0</v>
      </c>
      <c r="R27" s="16">
        <f>'5.4. Beruházás'!S10</f>
        <v>0</v>
      </c>
      <c r="S27" s="16">
        <f>'5.4. Beruházás'!T10</f>
        <v>0</v>
      </c>
      <c r="T27" s="16">
        <f>'5.4. Beruházás'!U10</f>
        <v>0</v>
      </c>
      <c r="U27" s="29">
        <f>'5.4. Beruházás'!V10</f>
        <v>0</v>
      </c>
      <c r="V27" s="8">
        <f>'5.4. Beruházás'!AF10</f>
        <v>0</v>
      </c>
    </row>
    <row r="28" spans="1:22" s="8" customFormat="1" ht="18.75" thickBot="1">
      <c r="A28" s="353"/>
      <c r="B28" s="12" t="s">
        <v>63</v>
      </c>
      <c r="C28" s="19" t="s">
        <v>42</v>
      </c>
      <c r="D28" s="14">
        <f t="shared" si="3"/>
        <v>85350686725.97</v>
      </c>
      <c r="E28" s="16">
        <f>'5.4. Beruházás'!F11</f>
        <v>0</v>
      </c>
      <c r="F28" s="16">
        <f>'5.4. Beruházás'!G11</f>
        <v>0</v>
      </c>
      <c r="G28" s="16">
        <f>'5.4. Beruházás'!H11</f>
        <v>1534710415</v>
      </c>
      <c r="H28" s="16">
        <f>'5.4. Beruházás'!I11</f>
        <v>0</v>
      </c>
      <c r="I28" s="16">
        <f>'5.4. Beruházás'!J11</f>
        <v>0</v>
      </c>
      <c r="J28" s="16">
        <f>'5.4. Beruházás'!K11</f>
        <v>77103700722.97</v>
      </c>
      <c r="K28" s="16">
        <f>'5.4. Beruházás'!L11</f>
        <v>6712005588</v>
      </c>
      <c r="L28" s="16">
        <f>'5.4. Beruházás'!M11</f>
        <v>270000</v>
      </c>
      <c r="M28" s="14">
        <f t="shared" si="6"/>
        <v>85410686725.97</v>
      </c>
      <c r="N28" s="16">
        <f>'5.4. Beruházás'!O11</f>
        <v>0</v>
      </c>
      <c r="O28" s="16">
        <f>'5.4. Beruházás'!P11</f>
        <v>0</v>
      </c>
      <c r="P28" s="16">
        <f>'5.4. Beruházás'!Q11</f>
        <v>1534710415</v>
      </c>
      <c r="Q28" s="16">
        <f>'5.4. Beruházás'!R11</f>
        <v>0</v>
      </c>
      <c r="R28" s="16">
        <f>'5.4. Beruházás'!S11</f>
        <v>0</v>
      </c>
      <c r="S28" s="16">
        <f>'5.4. Beruházás'!T11</f>
        <v>77103700722.97</v>
      </c>
      <c r="T28" s="16">
        <f>'5.4. Beruházás'!U11</f>
        <v>6772005588</v>
      </c>
      <c r="U28" s="16">
        <f>'5.4. Beruházás'!V11</f>
        <v>270000</v>
      </c>
      <c r="V28" s="8">
        <f>'5.4. Beruházás'!AF11</f>
        <v>0</v>
      </c>
    </row>
    <row r="29" spans="1:22" s="8" customFormat="1" ht="18.75" thickBot="1">
      <c r="A29" s="353"/>
      <c r="B29" s="12" t="s">
        <v>64</v>
      </c>
      <c r="C29" s="28" t="s">
        <v>44</v>
      </c>
      <c r="D29" s="210">
        <f t="shared" si="3"/>
        <v>0</v>
      </c>
      <c r="E29" s="26">
        <f>'5.4. Beruházás'!F165</f>
        <v>0</v>
      </c>
      <c r="F29" s="26">
        <f>'5.4. Beruházás'!G165</f>
        <v>0</v>
      </c>
      <c r="G29" s="26">
        <v>0</v>
      </c>
      <c r="H29" s="26">
        <f>'5.4. Beruházás'!I165</f>
        <v>0</v>
      </c>
      <c r="I29" s="26">
        <f>'5.4. Beruházás'!J165</f>
        <v>0</v>
      </c>
      <c r="J29" s="26">
        <f>'5.4. Beruházás'!K165</f>
        <v>0</v>
      </c>
      <c r="K29" s="26">
        <f>'5.4. Beruházás'!L165</f>
        <v>0</v>
      </c>
      <c r="L29" s="31">
        <v>0</v>
      </c>
      <c r="M29" s="210">
        <f t="shared" si="6"/>
        <v>0</v>
      </c>
      <c r="N29" s="26">
        <f>'5.4. Beruházás'!O165</f>
        <v>0</v>
      </c>
      <c r="O29" s="26">
        <f>'5.4. Beruházás'!P165</f>
        <v>0</v>
      </c>
      <c r="P29" s="26">
        <v>0</v>
      </c>
      <c r="Q29" s="26">
        <f>'5.4. Beruházás'!R165</f>
        <v>0</v>
      </c>
      <c r="R29" s="26">
        <f>'5.4. Beruházás'!S165</f>
        <v>0</v>
      </c>
      <c r="S29" s="26">
        <f>'5.4. Beruházás'!T165</f>
        <v>0</v>
      </c>
      <c r="T29" s="26">
        <f>'5.4. Beruházás'!U165</f>
        <v>0</v>
      </c>
      <c r="U29" s="31">
        <v>0</v>
      </c>
      <c r="V29" s="8">
        <v>0</v>
      </c>
    </row>
    <row r="30" spans="1:22" s="8" customFormat="1" ht="30.75" customHeight="1">
      <c r="A30" s="10" t="s">
        <v>65</v>
      </c>
      <c r="B30" s="352" t="s">
        <v>66</v>
      </c>
      <c r="C30" s="352"/>
      <c r="D30" s="11">
        <f t="shared" si="3"/>
        <v>433512284</v>
      </c>
      <c r="E30" s="11">
        <f aca="true" t="shared" si="13" ref="E30:L30">SUM(E31:E33)</f>
        <v>0</v>
      </c>
      <c r="F30" s="11">
        <f t="shared" si="13"/>
        <v>0</v>
      </c>
      <c r="G30" s="11">
        <f t="shared" si="13"/>
        <v>100000000</v>
      </c>
      <c r="H30" s="11">
        <f t="shared" si="13"/>
        <v>0</v>
      </c>
      <c r="I30" s="11">
        <f t="shared" si="13"/>
        <v>0</v>
      </c>
      <c r="J30" s="11">
        <f t="shared" si="13"/>
        <v>0</v>
      </c>
      <c r="K30" s="11">
        <f t="shared" si="13"/>
        <v>333512284</v>
      </c>
      <c r="L30" s="11">
        <f t="shared" si="13"/>
        <v>0</v>
      </c>
      <c r="M30" s="11">
        <f t="shared" si="6"/>
        <v>433512284</v>
      </c>
      <c r="N30" s="11">
        <f aca="true" t="shared" si="14" ref="N30:U30">SUM(N31:N33)</f>
        <v>0</v>
      </c>
      <c r="O30" s="11">
        <f t="shared" si="14"/>
        <v>0</v>
      </c>
      <c r="P30" s="11">
        <f t="shared" si="14"/>
        <v>100000000</v>
      </c>
      <c r="Q30" s="11">
        <f t="shared" si="14"/>
        <v>0</v>
      </c>
      <c r="R30" s="11">
        <f t="shared" si="14"/>
        <v>0</v>
      </c>
      <c r="S30" s="11">
        <f t="shared" si="14"/>
        <v>0</v>
      </c>
      <c r="T30" s="11">
        <f t="shared" si="14"/>
        <v>333512284</v>
      </c>
      <c r="U30" s="11">
        <f t="shared" si="14"/>
        <v>0</v>
      </c>
      <c r="V30" s="8">
        <f>SUM(V31:V33)</f>
        <v>0</v>
      </c>
    </row>
    <row r="31" spans="1:22" s="8" customFormat="1" ht="18.75" thickBot="1">
      <c r="A31" s="353"/>
      <c r="B31" s="18" t="s">
        <v>67</v>
      </c>
      <c r="C31" s="19" t="s">
        <v>40</v>
      </c>
      <c r="D31" s="14">
        <f t="shared" si="3"/>
        <v>433512284</v>
      </c>
      <c r="E31" s="15">
        <f>'5.5. Lakásalap'!E10</f>
        <v>0</v>
      </c>
      <c r="F31" s="16">
        <f>'5.5. Lakásalap'!F10</f>
        <v>0</v>
      </c>
      <c r="G31" s="16">
        <f>'5.5. Lakásalap'!G10</f>
        <v>100000000</v>
      </c>
      <c r="H31" s="16">
        <f>'5.5. Lakásalap'!H10</f>
        <v>0</v>
      </c>
      <c r="I31" s="16">
        <f>'5.5. Lakásalap'!I10</f>
        <v>0</v>
      </c>
      <c r="J31" s="16">
        <f>'5.5. Lakásalap'!J10</f>
        <v>0</v>
      </c>
      <c r="K31" s="16">
        <f>'5.5. Lakásalap'!K10</f>
        <v>333512284</v>
      </c>
      <c r="L31" s="29">
        <f>'5.5. Lakásalap'!L10</f>
        <v>0</v>
      </c>
      <c r="M31" s="14">
        <f t="shared" si="6"/>
        <v>433512284</v>
      </c>
      <c r="N31" s="15">
        <f>'5.5. Lakásalap'!N10</f>
        <v>0</v>
      </c>
      <c r="O31" s="16">
        <f>'5.5. Lakásalap'!O10</f>
        <v>0</v>
      </c>
      <c r="P31" s="16">
        <f>'5.5. Lakásalap'!P10</f>
        <v>100000000</v>
      </c>
      <c r="Q31" s="16">
        <f>'5.5. Lakásalap'!Q10</f>
        <v>0</v>
      </c>
      <c r="R31" s="16">
        <f>'5.5. Lakásalap'!R10</f>
        <v>0</v>
      </c>
      <c r="S31" s="16">
        <f>'5.5. Lakásalap'!S10</f>
        <v>0</v>
      </c>
      <c r="T31" s="16">
        <f>'5.5. Lakásalap'!T10</f>
        <v>333512284</v>
      </c>
      <c r="U31" s="29">
        <f>'5.5. Lakásalap'!U10</f>
        <v>0</v>
      </c>
      <c r="V31" s="8">
        <f>'5.5. Lakásalap'!AE10</f>
        <v>0</v>
      </c>
    </row>
    <row r="32" spans="1:22" s="8" customFormat="1" ht="18.75" thickBot="1">
      <c r="A32" s="353"/>
      <c r="B32" s="18" t="s">
        <v>68</v>
      </c>
      <c r="C32" s="19" t="s">
        <v>42</v>
      </c>
      <c r="D32" s="14">
        <f t="shared" si="3"/>
        <v>0</v>
      </c>
      <c r="E32" s="20">
        <f>'5.5. Lakásalap'!E18</f>
        <v>0</v>
      </c>
      <c r="F32" s="21">
        <f>'5.5. Lakásalap'!F18</f>
        <v>0</v>
      </c>
      <c r="G32" s="21">
        <f>'5.5. Lakásalap'!G18</f>
        <v>0</v>
      </c>
      <c r="H32" s="21">
        <f>'5.5. Lakásalap'!H18</f>
        <v>0</v>
      </c>
      <c r="I32" s="21">
        <f>'5.5. Lakásalap'!I18</f>
        <v>0</v>
      </c>
      <c r="J32" s="21">
        <f>'5.5. Lakásalap'!J18</f>
        <v>0</v>
      </c>
      <c r="K32" s="21">
        <f>'5.5. Lakásalap'!K18</f>
        <v>0</v>
      </c>
      <c r="L32" s="30">
        <f>'5.5. Lakásalap'!L18</f>
        <v>0</v>
      </c>
      <c r="M32" s="14">
        <f t="shared" si="6"/>
        <v>0</v>
      </c>
      <c r="N32" s="20">
        <f>'5.5. Lakásalap'!N18</f>
        <v>0</v>
      </c>
      <c r="O32" s="21">
        <f>'5.5. Lakásalap'!O18</f>
        <v>0</v>
      </c>
      <c r="P32" s="21">
        <f>'5.5. Lakásalap'!P18</f>
        <v>0</v>
      </c>
      <c r="Q32" s="21">
        <f>'5.5. Lakásalap'!Q18</f>
        <v>0</v>
      </c>
      <c r="R32" s="21">
        <f>'5.5. Lakásalap'!R18</f>
        <v>0</v>
      </c>
      <c r="S32" s="21">
        <f>'5.5. Lakásalap'!S18</f>
        <v>0</v>
      </c>
      <c r="T32" s="21">
        <f>'5.5. Lakásalap'!T18</f>
        <v>0</v>
      </c>
      <c r="U32" s="30">
        <f>'5.5. Lakásalap'!U18</f>
        <v>0</v>
      </c>
      <c r="V32" s="8">
        <f>'5.5. Lakásalap'!AE18</f>
        <v>0</v>
      </c>
    </row>
    <row r="33" spans="1:22" s="8" customFormat="1" ht="18.75" thickBot="1">
      <c r="A33" s="353"/>
      <c r="B33" s="18" t="s">
        <v>69</v>
      </c>
      <c r="C33" s="19" t="s">
        <v>44</v>
      </c>
      <c r="D33" s="210">
        <f t="shared" si="3"/>
        <v>0</v>
      </c>
      <c r="E33" s="25">
        <f>'5.5. Lakásalap'!E19</f>
        <v>0</v>
      </c>
      <c r="F33" s="26">
        <f>'5.5. Lakásalap'!F19</f>
        <v>0</v>
      </c>
      <c r="G33" s="26">
        <f>'5.5. Lakásalap'!G19</f>
        <v>0</v>
      </c>
      <c r="H33" s="26">
        <f>'5.5. Lakásalap'!H19</f>
        <v>0</v>
      </c>
      <c r="I33" s="26">
        <f>'5.5. Lakásalap'!I19</f>
        <v>0</v>
      </c>
      <c r="J33" s="26">
        <f>'5.5. Lakásalap'!J19</f>
        <v>0</v>
      </c>
      <c r="K33" s="26">
        <f>'5.5. Lakásalap'!K19</f>
        <v>0</v>
      </c>
      <c r="L33" s="31">
        <f>'5.5. Lakásalap'!L19</f>
        <v>0</v>
      </c>
      <c r="M33" s="210">
        <f t="shared" si="6"/>
        <v>0</v>
      </c>
      <c r="N33" s="25">
        <f>'5.5. Lakásalap'!N19</f>
        <v>0</v>
      </c>
      <c r="O33" s="26">
        <f>'5.5. Lakásalap'!O19</f>
        <v>0</v>
      </c>
      <c r="P33" s="26">
        <f>'5.5. Lakásalap'!P19</f>
        <v>0</v>
      </c>
      <c r="Q33" s="26">
        <f>'5.5. Lakásalap'!Q19</f>
        <v>0</v>
      </c>
      <c r="R33" s="26">
        <f>'5.5. Lakásalap'!R19</f>
        <v>0</v>
      </c>
      <c r="S33" s="26">
        <f>'5.5. Lakásalap'!S19</f>
        <v>0</v>
      </c>
      <c r="T33" s="26">
        <f>'5.5. Lakásalap'!T19</f>
        <v>0</v>
      </c>
      <c r="U33" s="31">
        <f>'5.5. Lakásalap'!U19</f>
        <v>0</v>
      </c>
      <c r="V33" s="8">
        <f>'5.5. Lakásalap'!AE19</f>
        <v>0</v>
      </c>
    </row>
    <row r="34" spans="1:22" s="8" customFormat="1" ht="18" customHeight="1">
      <c r="A34" s="10" t="s">
        <v>70</v>
      </c>
      <c r="B34" s="352" t="s">
        <v>71</v>
      </c>
      <c r="C34" s="352"/>
      <c r="D34" s="11">
        <f t="shared" si="3"/>
        <v>186923620</v>
      </c>
      <c r="E34" s="11">
        <f aca="true" t="shared" si="15" ref="E34:L34">SUM(E35:E37)</f>
        <v>58203000</v>
      </c>
      <c r="F34" s="11">
        <f t="shared" si="15"/>
        <v>24217885</v>
      </c>
      <c r="G34" s="11">
        <f t="shared" si="15"/>
        <v>104502735</v>
      </c>
      <c r="H34" s="11">
        <f t="shared" si="15"/>
        <v>0</v>
      </c>
      <c r="I34" s="11">
        <f t="shared" si="15"/>
        <v>0</v>
      </c>
      <c r="J34" s="11">
        <f t="shared" si="15"/>
        <v>0</v>
      </c>
      <c r="K34" s="11">
        <f t="shared" si="15"/>
        <v>0</v>
      </c>
      <c r="L34" s="11">
        <f t="shared" si="15"/>
        <v>0</v>
      </c>
      <c r="M34" s="11">
        <f t="shared" si="6"/>
        <v>186923620</v>
      </c>
      <c r="N34" s="11">
        <f aca="true" t="shared" si="16" ref="N34:U34">SUM(N35:N37)</f>
        <v>58203000</v>
      </c>
      <c r="O34" s="11">
        <f t="shared" si="16"/>
        <v>24217885</v>
      </c>
      <c r="P34" s="11">
        <f t="shared" si="16"/>
        <v>104502735</v>
      </c>
      <c r="Q34" s="11">
        <f t="shared" si="16"/>
        <v>0</v>
      </c>
      <c r="R34" s="11">
        <f t="shared" si="16"/>
        <v>0</v>
      </c>
      <c r="S34" s="11">
        <f t="shared" si="16"/>
        <v>0</v>
      </c>
      <c r="T34" s="11">
        <f t="shared" si="16"/>
        <v>0</v>
      </c>
      <c r="U34" s="11">
        <f t="shared" si="16"/>
        <v>0</v>
      </c>
      <c r="V34" s="8">
        <f>SUM(V35:V37)</f>
        <v>0</v>
      </c>
    </row>
    <row r="35" spans="1:22" s="8" customFormat="1" ht="18.75" thickBot="1">
      <c r="A35" s="353"/>
      <c r="B35" s="12" t="s">
        <v>72</v>
      </c>
      <c r="C35" s="19" t="s">
        <v>40</v>
      </c>
      <c r="D35" s="14">
        <f t="shared" si="3"/>
        <v>82246870</v>
      </c>
      <c r="E35" s="15">
        <f>'5.6. Városrendezési tervek'!E10</f>
        <v>7803000</v>
      </c>
      <c r="F35" s="15">
        <f>'5.6. Városrendezési tervek'!F10</f>
        <v>1519885</v>
      </c>
      <c r="G35" s="15">
        <f>'5.6. Városrendezési tervek'!G10</f>
        <v>72923985</v>
      </c>
      <c r="H35" s="15">
        <f>'5.6. Városrendezési tervek'!H10</f>
        <v>0</v>
      </c>
      <c r="I35" s="15">
        <f>'5.6. Városrendezési tervek'!H10</f>
        <v>0</v>
      </c>
      <c r="J35" s="15">
        <f>'5.6. Városrendezési tervek'!I10</f>
        <v>0</v>
      </c>
      <c r="K35" s="15">
        <f>'5.6. Városrendezési tervek'!J10</f>
        <v>0</v>
      </c>
      <c r="L35" s="15">
        <f>'5.6. Városrendezési tervek'!K10</f>
        <v>0</v>
      </c>
      <c r="M35" s="14">
        <f t="shared" si="6"/>
        <v>82246870</v>
      </c>
      <c r="N35" s="15">
        <f>'5.6. Városrendezési tervek'!N10</f>
        <v>7803000</v>
      </c>
      <c r="O35" s="15">
        <f>'5.6. Városrendezési tervek'!O10</f>
        <v>1519885</v>
      </c>
      <c r="P35" s="15">
        <f>'5.6. Városrendezési tervek'!P10</f>
        <v>72923985</v>
      </c>
      <c r="Q35" s="15">
        <f>'5.6. Városrendezési tervek'!Q10</f>
        <v>0</v>
      </c>
      <c r="R35" s="15">
        <f>'5.6. Városrendezési tervek'!Q10</f>
        <v>0</v>
      </c>
      <c r="S35" s="15">
        <f>'5.6. Városrendezési tervek'!R10</f>
        <v>0</v>
      </c>
      <c r="T35" s="15">
        <f>'5.6. Városrendezési tervek'!S10</f>
        <v>0</v>
      </c>
      <c r="U35" s="15">
        <f>'5.6. Városrendezési tervek'!T10</f>
        <v>0</v>
      </c>
      <c r="V35" s="8">
        <f>'5.6. Városrendezési tervek'!AD10</f>
        <v>0</v>
      </c>
    </row>
    <row r="36" spans="1:22" s="8" customFormat="1" ht="18.75" thickBot="1">
      <c r="A36" s="353"/>
      <c r="B36" s="12" t="s">
        <v>73</v>
      </c>
      <c r="C36" s="19" t="s">
        <v>42</v>
      </c>
      <c r="D36" s="14">
        <f t="shared" si="3"/>
        <v>104676750</v>
      </c>
      <c r="E36" s="20">
        <f>'5.6. Városrendezési tervek'!E12</f>
        <v>50400000</v>
      </c>
      <c r="F36" s="20">
        <f>'5.6. Városrendezési tervek'!F12</f>
        <v>22698000</v>
      </c>
      <c r="G36" s="20">
        <f>'5.6. Városrendezési tervek'!G12</f>
        <v>31578750</v>
      </c>
      <c r="H36" s="20">
        <f>'5.6. Városrendezési tervek'!H12</f>
        <v>0</v>
      </c>
      <c r="I36" s="20">
        <f>'5.6. Városrendezési tervek'!H12</f>
        <v>0</v>
      </c>
      <c r="J36" s="20">
        <f>'5.6. Városrendezési tervek'!I12</f>
        <v>0</v>
      </c>
      <c r="K36" s="20">
        <f>'5.6. Városrendezési tervek'!J12</f>
        <v>0</v>
      </c>
      <c r="L36" s="20">
        <f>'5.6. Városrendezési tervek'!K12</f>
        <v>0</v>
      </c>
      <c r="M36" s="14">
        <f t="shared" si="6"/>
        <v>104676750</v>
      </c>
      <c r="N36" s="20">
        <f>'5.6. Városrendezési tervek'!N12</f>
        <v>50400000</v>
      </c>
      <c r="O36" s="20">
        <f>'5.6. Városrendezési tervek'!O12</f>
        <v>22698000</v>
      </c>
      <c r="P36" s="20">
        <f>'5.6. Városrendezési tervek'!P12</f>
        <v>31578750</v>
      </c>
      <c r="Q36" s="20">
        <f>'5.6. Városrendezési tervek'!Q12</f>
        <v>0</v>
      </c>
      <c r="R36" s="20">
        <f>'5.6. Városrendezési tervek'!Q12</f>
        <v>0</v>
      </c>
      <c r="S36" s="20">
        <f>'5.6. Városrendezési tervek'!R12</f>
        <v>0</v>
      </c>
      <c r="T36" s="20">
        <f>'5.6. Városrendezési tervek'!S12</f>
        <v>0</v>
      </c>
      <c r="U36" s="20">
        <f>'5.6. Városrendezési tervek'!T12</f>
        <v>0</v>
      </c>
      <c r="V36" s="8">
        <f>'5.6. Városrendezési tervek'!AD12</f>
        <v>0</v>
      </c>
    </row>
    <row r="37" spans="1:22" s="8" customFormat="1" ht="18.75" thickBot="1">
      <c r="A37" s="353"/>
      <c r="B37" s="12" t="s">
        <v>74</v>
      </c>
      <c r="C37" s="28" t="s">
        <v>44</v>
      </c>
      <c r="D37" s="210">
        <f t="shared" si="3"/>
        <v>0</v>
      </c>
      <c r="E37" s="25">
        <f>'5.6. Városrendezési tervek'!D20</f>
        <v>0</v>
      </c>
      <c r="F37" s="25">
        <f>'5.6. Városrendezési tervek'!E20</f>
        <v>0</v>
      </c>
      <c r="G37" s="25">
        <f>'5.6. Városrendezési tervek'!F20</f>
        <v>0</v>
      </c>
      <c r="H37" s="25">
        <f>'5.6. Városrendezési tervek'!G20</f>
        <v>0</v>
      </c>
      <c r="I37" s="25">
        <f>'5.6. Városrendezési tervek'!H20</f>
        <v>0</v>
      </c>
      <c r="J37" s="25">
        <f>'5.6. Városrendezési tervek'!I20</f>
        <v>0</v>
      </c>
      <c r="K37" s="25">
        <f>'5.6. Városrendezési tervek'!J20</f>
        <v>0</v>
      </c>
      <c r="L37" s="25">
        <f>'5.6. Városrendezési tervek'!K20</f>
        <v>0</v>
      </c>
      <c r="M37" s="210">
        <f t="shared" si="6"/>
        <v>0</v>
      </c>
      <c r="N37" s="25">
        <f>'5.6. Városrendezési tervek'!M20</f>
        <v>0</v>
      </c>
      <c r="O37" s="25">
        <f>'5.6. Városrendezési tervek'!N20</f>
        <v>0</v>
      </c>
      <c r="P37" s="25">
        <f>'5.6. Városrendezési tervek'!O20</f>
        <v>0</v>
      </c>
      <c r="Q37" s="25">
        <f>'5.6. Városrendezési tervek'!P20</f>
        <v>0</v>
      </c>
      <c r="R37" s="25">
        <f>'5.6. Városrendezési tervek'!Q20</f>
        <v>0</v>
      </c>
      <c r="S37" s="25">
        <f>'5.6. Városrendezési tervek'!R20</f>
        <v>0</v>
      </c>
      <c r="T37" s="25">
        <f>'5.6. Városrendezési tervek'!S20</f>
        <v>0</v>
      </c>
      <c r="U37" s="25">
        <f>'5.6. Városrendezési tervek'!T20</f>
        <v>0</v>
      </c>
      <c r="V37" s="8">
        <f>'5.6. Városrendezési tervek'!AD20</f>
        <v>0</v>
      </c>
    </row>
    <row r="38" spans="1:22" s="8" customFormat="1" ht="18" customHeight="1">
      <c r="A38" s="10" t="s">
        <v>75</v>
      </c>
      <c r="B38" s="352" t="s">
        <v>76</v>
      </c>
      <c r="C38" s="352"/>
      <c r="D38" s="11">
        <f t="shared" si="3"/>
        <v>4821745020</v>
      </c>
      <c r="E38" s="11">
        <f aca="true" t="shared" si="17" ref="E38:L38">SUM(E39:E41)</f>
        <v>0</v>
      </c>
      <c r="F38" s="11">
        <f t="shared" si="17"/>
        <v>0</v>
      </c>
      <c r="G38" s="11">
        <f t="shared" si="17"/>
        <v>206280354</v>
      </c>
      <c r="H38" s="11">
        <f t="shared" si="17"/>
        <v>0</v>
      </c>
      <c r="I38" s="11">
        <f t="shared" si="17"/>
        <v>3518320</v>
      </c>
      <c r="J38" s="11">
        <f t="shared" si="17"/>
        <v>4611946346</v>
      </c>
      <c r="K38" s="11">
        <f t="shared" si="17"/>
        <v>0</v>
      </c>
      <c r="L38" s="11">
        <f t="shared" si="17"/>
        <v>0</v>
      </c>
      <c r="M38" s="11">
        <f t="shared" si="6"/>
        <v>4821745020</v>
      </c>
      <c r="N38" s="11">
        <f aca="true" t="shared" si="18" ref="N38:U38">SUM(N39:N41)</f>
        <v>0</v>
      </c>
      <c r="O38" s="11">
        <f t="shared" si="18"/>
        <v>0</v>
      </c>
      <c r="P38" s="11">
        <f t="shared" si="18"/>
        <v>206280354</v>
      </c>
      <c r="Q38" s="11">
        <f t="shared" si="18"/>
        <v>0</v>
      </c>
      <c r="R38" s="11">
        <f t="shared" si="18"/>
        <v>3518320</v>
      </c>
      <c r="S38" s="11">
        <f t="shared" si="18"/>
        <v>4611946346</v>
      </c>
      <c r="T38" s="11">
        <f t="shared" si="18"/>
        <v>0</v>
      </c>
      <c r="U38" s="11">
        <f t="shared" si="18"/>
        <v>0</v>
      </c>
      <c r="V38" s="8">
        <f>SUM(V39:V41)</f>
        <v>0</v>
      </c>
    </row>
    <row r="39" spans="1:22" s="8" customFormat="1" ht="18.75" thickBot="1">
      <c r="A39" s="353"/>
      <c r="B39" s="12" t="s">
        <v>77</v>
      </c>
      <c r="C39" s="19" t="s">
        <v>40</v>
      </c>
      <c r="D39" s="14">
        <f t="shared" si="3"/>
        <v>0</v>
      </c>
      <c r="E39" s="15">
        <f>'5.7. Kertség'!F10</f>
        <v>0</v>
      </c>
      <c r="F39" s="15">
        <f>'5.7. Kertség'!G10</f>
        <v>0</v>
      </c>
      <c r="G39" s="15">
        <f>'5.7. Kertség'!H10</f>
        <v>0</v>
      </c>
      <c r="H39" s="15">
        <f>'5.7. Kertség'!I10</f>
        <v>0</v>
      </c>
      <c r="I39" s="15">
        <f>'5.7. Kertség'!J10</f>
        <v>0</v>
      </c>
      <c r="J39" s="15">
        <f>'5.7. Kertség'!K10</f>
        <v>0</v>
      </c>
      <c r="K39" s="15">
        <f>'5.7. Kertség'!L10</f>
        <v>0</v>
      </c>
      <c r="L39" s="15">
        <f>'5.7. Kertség'!M10</f>
        <v>0</v>
      </c>
      <c r="M39" s="14">
        <f t="shared" si="6"/>
        <v>0</v>
      </c>
      <c r="N39" s="15">
        <f>'5.7. Kertség'!O10</f>
        <v>0</v>
      </c>
      <c r="O39" s="15">
        <f>'5.7. Kertség'!P10</f>
        <v>0</v>
      </c>
      <c r="P39" s="15">
        <f>'5.7. Kertség'!Q10</f>
        <v>0</v>
      </c>
      <c r="Q39" s="15">
        <f>'5.7. Kertség'!R10</f>
        <v>0</v>
      </c>
      <c r="R39" s="15">
        <f>'5.7. Kertség'!S10</f>
        <v>0</v>
      </c>
      <c r="S39" s="15">
        <f>'5.7. Kertség'!T10</f>
        <v>0</v>
      </c>
      <c r="T39" s="15">
        <f>'5.7. Kertség'!U10</f>
        <v>0</v>
      </c>
      <c r="U39" s="15">
        <f>'5.7. Kertség'!V10</f>
        <v>0</v>
      </c>
      <c r="V39" s="8">
        <f>'5.7. Kertség'!AF10</f>
        <v>0</v>
      </c>
    </row>
    <row r="40" spans="1:22" s="32" customFormat="1" ht="18.75" thickBot="1">
      <c r="A40" s="353"/>
      <c r="B40" s="12" t="s">
        <v>78</v>
      </c>
      <c r="C40" s="19" t="s">
        <v>42</v>
      </c>
      <c r="D40" s="14">
        <f t="shared" si="3"/>
        <v>4821745020</v>
      </c>
      <c r="E40" s="20">
        <f>'5.7. Kertség'!F11</f>
        <v>0</v>
      </c>
      <c r="F40" s="20">
        <f>'5.7. Kertség'!G11</f>
        <v>0</v>
      </c>
      <c r="G40" s="20">
        <f>'5.7. Kertség'!H11</f>
        <v>206280354</v>
      </c>
      <c r="H40" s="20">
        <f>'5.7. Kertség'!I11</f>
        <v>0</v>
      </c>
      <c r="I40" s="20">
        <f>'5.7. Kertség'!J11</f>
        <v>3518320</v>
      </c>
      <c r="J40" s="20">
        <f>'5.7. Kertség'!K11</f>
        <v>4611946346</v>
      </c>
      <c r="K40" s="20">
        <f>'5.7. Kertség'!L11</f>
        <v>0</v>
      </c>
      <c r="L40" s="20">
        <f>'5.7. Kertség'!M11</f>
        <v>0</v>
      </c>
      <c r="M40" s="14">
        <f t="shared" si="6"/>
        <v>4821745020</v>
      </c>
      <c r="N40" s="20">
        <f>'5.7. Kertség'!O11</f>
        <v>0</v>
      </c>
      <c r="O40" s="20">
        <f>'5.7. Kertség'!P11</f>
        <v>0</v>
      </c>
      <c r="P40" s="20">
        <f>'5.7. Kertség'!Q11</f>
        <v>206280354</v>
      </c>
      <c r="Q40" s="20">
        <f>'5.7. Kertség'!R11</f>
        <v>0</v>
      </c>
      <c r="R40" s="20">
        <f>'5.7. Kertség'!S11</f>
        <v>3518320</v>
      </c>
      <c r="S40" s="20">
        <f>'5.7. Kertség'!T11</f>
        <v>4611946346</v>
      </c>
      <c r="T40" s="20">
        <f>'5.7. Kertség'!U11</f>
        <v>0</v>
      </c>
      <c r="U40" s="20">
        <f>'5.7. Kertség'!V11</f>
        <v>0</v>
      </c>
      <c r="V40" s="32">
        <f>'5.7. Kertség'!AF11</f>
        <v>0</v>
      </c>
    </row>
    <row r="41" spans="1:22" s="32" customFormat="1" ht="18.75" thickBot="1">
      <c r="A41" s="353"/>
      <c r="B41" s="12" t="s">
        <v>79</v>
      </c>
      <c r="C41" s="28" t="s">
        <v>44</v>
      </c>
      <c r="D41" s="210">
        <f t="shared" si="3"/>
        <v>0</v>
      </c>
      <c r="E41" s="25">
        <f>'5.7. Kertség'!F40</f>
        <v>0</v>
      </c>
      <c r="F41" s="25">
        <f>'5.7. Kertség'!G40</f>
        <v>0</v>
      </c>
      <c r="G41" s="25">
        <f>'5.7. Kertség'!H40</f>
        <v>0</v>
      </c>
      <c r="H41" s="25">
        <f>'5.7. Kertség'!I40</f>
        <v>0</v>
      </c>
      <c r="I41" s="25">
        <f>'5.7. Kertség'!J40</f>
        <v>0</v>
      </c>
      <c r="J41" s="25">
        <f>'5.7. Kertség'!K40</f>
        <v>0</v>
      </c>
      <c r="K41" s="25">
        <f>'5.7. Kertség'!L40</f>
        <v>0</v>
      </c>
      <c r="L41" s="25">
        <f>'5.7. Kertség'!M40</f>
        <v>0</v>
      </c>
      <c r="M41" s="210">
        <f t="shared" si="6"/>
        <v>0</v>
      </c>
      <c r="N41" s="25">
        <f>'5.7. Kertség'!O40</f>
        <v>0</v>
      </c>
      <c r="O41" s="25">
        <f>'5.7. Kertség'!P40</f>
        <v>0</v>
      </c>
      <c r="P41" s="25">
        <f>'5.7. Kertség'!Q40</f>
        <v>0</v>
      </c>
      <c r="Q41" s="25">
        <f>'5.7. Kertség'!R40</f>
        <v>0</v>
      </c>
      <c r="R41" s="25">
        <f>'5.7. Kertség'!S40</f>
        <v>0</v>
      </c>
      <c r="S41" s="25">
        <f>'5.7. Kertség'!T40</f>
        <v>0</v>
      </c>
      <c r="T41" s="25">
        <f>'5.7. Kertség'!U40</f>
        <v>0</v>
      </c>
      <c r="U41" s="25">
        <f>'5.7. Kertség'!V40</f>
        <v>0</v>
      </c>
      <c r="V41" s="32">
        <f>'5.7. Kertség'!AF40</f>
        <v>0</v>
      </c>
    </row>
    <row r="42" spans="1:22" s="32" customFormat="1" ht="18" customHeight="1">
      <c r="A42" s="10" t="s">
        <v>80</v>
      </c>
      <c r="B42" s="352" t="s">
        <v>81</v>
      </c>
      <c r="C42" s="352"/>
      <c r="D42" s="11">
        <f t="shared" si="3"/>
        <v>10650000</v>
      </c>
      <c r="E42" s="11">
        <f aca="true" t="shared" si="19" ref="E42:L42">SUM(E43:E45)</f>
        <v>0</v>
      </c>
      <c r="F42" s="11">
        <f t="shared" si="19"/>
        <v>0</v>
      </c>
      <c r="G42" s="11">
        <f t="shared" si="19"/>
        <v>0</v>
      </c>
      <c r="H42" s="11">
        <f t="shared" si="19"/>
        <v>650000</v>
      </c>
      <c r="I42" s="11">
        <f t="shared" si="19"/>
        <v>10000000</v>
      </c>
      <c r="J42" s="11">
        <f t="shared" si="19"/>
        <v>0</v>
      </c>
      <c r="K42" s="11">
        <f t="shared" si="19"/>
        <v>0</v>
      </c>
      <c r="L42" s="11">
        <f t="shared" si="19"/>
        <v>0</v>
      </c>
      <c r="M42" s="11">
        <f t="shared" si="6"/>
        <v>10650000</v>
      </c>
      <c r="N42" s="11">
        <f aca="true" t="shared" si="20" ref="N42:U42">SUM(N43:N45)</f>
        <v>0</v>
      </c>
      <c r="O42" s="11">
        <f t="shared" si="20"/>
        <v>0</v>
      </c>
      <c r="P42" s="11">
        <f t="shared" si="20"/>
        <v>0</v>
      </c>
      <c r="Q42" s="11">
        <f t="shared" si="20"/>
        <v>650000</v>
      </c>
      <c r="R42" s="11">
        <f t="shared" si="20"/>
        <v>10000000</v>
      </c>
      <c r="S42" s="11">
        <f t="shared" si="20"/>
        <v>0</v>
      </c>
      <c r="T42" s="11">
        <f t="shared" si="20"/>
        <v>0</v>
      </c>
      <c r="U42" s="11">
        <f t="shared" si="20"/>
        <v>0</v>
      </c>
      <c r="V42" s="32">
        <f>SUM(V43:V45)</f>
        <v>0</v>
      </c>
    </row>
    <row r="43" spans="1:22" s="32" customFormat="1" ht="18.75" thickBot="1">
      <c r="A43" s="353"/>
      <c r="B43" s="12" t="s">
        <v>82</v>
      </c>
      <c r="C43" s="19" t="s">
        <v>40</v>
      </c>
      <c r="D43" s="14">
        <f t="shared" si="3"/>
        <v>650000</v>
      </c>
      <c r="E43" s="16">
        <v>0</v>
      </c>
      <c r="F43" s="16">
        <v>0</v>
      </c>
      <c r="G43" s="16">
        <v>0</v>
      </c>
      <c r="H43" s="16">
        <v>650000</v>
      </c>
      <c r="I43" s="16">
        <v>0</v>
      </c>
      <c r="J43" s="16">
        <v>0</v>
      </c>
      <c r="K43" s="16">
        <v>0</v>
      </c>
      <c r="L43" s="29">
        <v>0</v>
      </c>
      <c r="M43" s="14">
        <f t="shared" si="6"/>
        <v>650000</v>
      </c>
      <c r="N43" s="16">
        <v>0</v>
      </c>
      <c r="O43" s="16">
        <v>0</v>
      </c>
      <c r="P43" s="16">
        <v>0</v>
      </c>
      <c r="Q43" s="16">
        <v>650000</v>
      </c>
      <c r="R43" s="16">
        <v>0</v>
      </c>
      <c r="S43" s="16">
        <v>0</v>
      </c>
      <c r="T43" s="16">
        <v>0</v>
      </c>
      <c r="U43" s="29">
        <v>0</v>
      </c>
      <c r="V43" s="32">
        <v>0</v>
      </c>
    </row>
    <row r="44" spans="1:22" s="32" customFormat="1" ht="18.75" thickBot="1">
      <c r="A44" s="353"/>
      <c r="B44" s="12" t="s">
        <v>83</v>
      </c>
      <c r="C44" s="19" t="s">
        <v>42</v>
      </c>
      <c r="D44" s="14">
        <f t="shared" si="3"/>
        <v>10000000</v>
      </c>
      <c r="E44" s="20">
        <v>0</v>
      </c>
      <c r="F44" s="21">
        <v>0</v>
      </c>
      <c r="G44" s="21">
        <v>0</v>
      </c>
      <c r="H44" s="21">
        <v>0</v>
      </c>
      <c r="I44" s="21">
        <v>10000000</v>
      </c>
      <c r="J44" s="21">
        <v>0</v>
      </c>
      <c r="K44" s="21">
        <v>0</v>
      </c>
      <c r="L44" s="30">
        <v>0</v>
      </c>
      <c r="M44" s="14">
        <f t="shared" si="6"/>
        <v>10000000</v>
      </c>
      <c r="N44" s="20">
        <v>0</v>
      </c>
      <c r="O44" s="21">
        <v>0</v>
      </c>
      <c r="P44" s="21">
        <v>0</v>
      </c>
      <c r="Q44" s="21">
        <v>0</v>
      </c>
      <c r="R44" s="21">
        <v>10000000</v>
      </c>
      <c r="S44" s="21">
        <v>0</v>
      </c>
      <c r="T44" s="21">
        <v>0</v>
      </c>
      <c r="U44" s="30">
        <v>0</v>
      </c>
      <c r="V44" s="32">
        <v>0</v>
      </c>
    </row>
    <row r="45" spans="1:22" s="32" customFormat="1" ht="18.75" thickBot="1">
      <c r="A45" s="353"/>
      <c r="B45" s="12" t="s">
        <v>84</v>
      </c>
      <c r="C45" s="28" t="s">
        <v>44</v>
      </c>
      <c r="D45" s="210">
        <f t="shared" si="3"/>
        <v>0</v>
      </c>
      <c r="E45" s="25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31">
        <v>0</v>
      </c>
      <c r="M45" s="210">
        <f t="shared" si="6"/>
        <v>0</v>
      </c>
      <c r="N45" s="25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31">
        <v>0</v>
      </c>
      <c r="V45" s="32">
        <v>0</v>
      </c>
    </row>
    <row r="46" spans="1:22" s="32" customFormat="1" ht="18" customHeight="1">
      <c r="A46" s="10" t="s">
        <v>85</v>
      </c>
      <c r="B46" s="352" t="s">
        <v>86</v>
      </c>
      <c r="C46" s="352"/>
      <c r="D46" s="11">
        <f t="shared" si="3"/>
        <v>94834144</v>
      </c>
      <c r="E46" s="11">
        <f aca="true" t="shared" si="21" ref="E46:L46">SUM(E47:E49)</f>
        <v>0</v>
      </c>
      <c r="F46" s="11">
        <f t="shared" si="21"/>
        <v>0</v>
      </c>
      <c r="G46" s="11">
        <f t="shared" si="21"/>
        <v>17900000</v>
      </c>
      <c r="H46" s="11">
        <f t="shared" si="21"/>
        <v>684144</v>
      </c>
      <c r="I46" s="11">
        <f t="shared" si="21"/>
        <v>76250000</v>
      </c>
      <c r="J46" s="11">
        <f t="shared" si="21"/>
        <v>0</v>
      </c>
      <c r="K46" s="11">
        <f t="shared" si="21"/>
        <v>0</v>
      </c>
      <c r="L46" s="11">
        <f t="shared" si="21"/>
        <v>0</v>
      </c>
      <c r="M46" s="11">
        <f t="shared" si="6"/>
        <v>94834144</v>
      </c>
      <c r="N46" s="11">
        <f aca="true" t="shared" si="22" ref="N46:U46">SUM(N47:N49)</f>
        <v>0</v>
      </c>
      <c r="O46" s="11">
        <f t="shared" si="22"/>
        <v>0</v>
      </c>
      <c r="P46" s="11">
        <f t="shared" si="22"/>
        <v>17900000</v>
      </c>
      <c r="Q46" s="11">
        <f t="shared" si="22"/>
        <v>684144</v>
      </c>
      <c r="R46" s="11">
        <f t="shared" si="22"/>
        <v>76250000</v>
      </c>
      <c r="S46" s="11">
        <f t="shared" si="22"/>
        <v>0</v>
      </c>
      <c r="T46" s="11">
        <f t="shared" si="22"/>
        <v>0</v>
      </c>
      <c r="U46" s="11">
        <f t="shared" si="22"/>
        <v>0</v>
      </c>
      <c r="V46" s="32">
        <f>SUM(V47:V49)</f>
        <v>0</v>
      </c>
    </row>
    <row r="47" spans="1:22" s="32" customFormat="1" ht="18.75" thickBot="1">
      <c r="A47" s="353"/>
      <c r="B47" s="12" t="s">
        <v>87</v>
      </c>
      <c r="C47" s="19" t="s">
        <v>40</v>
      </c>
      <c r="D47" s="14">
        <f t="shared" si="3"/>
        <v>93834144</v>
      </c>
      <c r="E47" s="16">
        <f>'5.8. Egészségügyi'!E10</f>
        <v>0</v>
      </c>
      <c r="F47" s="16">
        <f>'5.8. Egészségügyi'!F10</f>
        <v>0</v>
      </c>
      <c r="G47" s="16">
        <f>'5.8. Egészségügyi'!G10</f>
        <v>17900000</v>
      </c>
      <c r="H47" s="16">
        <f>'5.8. Egészségügyi'!H10</f>
        <v>684144</v>
      </c>
      <c r="I47" s="16">
        <f>'5.8. Egészségügyi'!I10</f>
        <v>75250000</v>
      </c>
      <c r="J47" s="16">
        <f>'5.8. Egészségügyi'!J10</f>
        <v>0</v>
      </c>
      <c r="K47" s="16">
        <f>'5.8. Egészségügyi'!K10</f>
        <v>0</v>
      </c>
      <c r="L47" s="16">
        <f>'5.8. Egészségügyi'!L10</f>
        <v>0</v>
      </c>
      <c r="M47" s="14">
        <f t="shared" si="6"/>
        <v>93834144</v>
      </c>
      <c r="N47" s="16">
        <f>'5.8. Egészségügyi'!N10</f>
        <v>0</v>
      </c>
      <c r="O47" s="16">
        <f>'5.8. Egészségügyi'!O10</f>
        <v>0</v>
      </c>
      <c r="P47" s="16">
        <f>'5.8. Egészségügyi'!P10</f>
        <v>17900000</v>
      </c>
      <c r="Q47" s="16">
        <f>'5.8. Egészségügyi'!Q10</f>
        <v>684144</v>
      </c>
      <c r="R47" s="16">
        <f>'5.8. Egészségügyi'!R10</f>
        <v>75250000</v>
      </c>
      <c r="S47" s="16">
        <f>'5.8. Egészségügyi'!S10</f>
        <v>0</v>
      </c>
      <c r="T47" s="16">
        <f>'5.8. Egészségügyi'!T10</f>
        <v>0</v>
      </c>
      <c r="U47" s="16">
        <f>'5.8. Egészségügyi'!U10</f>
        <v>0</v>
      </c>
      <c r="V47" s="32">
        <f>'5.8. Egészségügyi'!AE10</f>
        <v>0</v>
      </c>
    </row>
    <row r="48" spans="1:22" s="32" customFormat="1" ht="18.75" thickBot="1">
      <c r="A48" s="353"/>
      <c r="B48" s="12" t="s">
        <v>88</v>
      </c>
      <c r="C48" s="19" t="s">
        <v>42</v>
      </c>
      <c r="D48" s="14">
        <f t="shared" si="3"/>
        <v>1000000</v>
      </c>
      <c r="E48" s="20">
        <f>'5.8. Egészségügyi'!E18</f>
        <v>0</v>
      </c>
      <c r="F48" s="20">
        <f>'5.8. Egészségügyi'!F18</f>
        <v>0</v>
      </c>
      <c r="G48" s="20">
        <f>'5.8. Egészségügyi'!G18</f>
        <v>0</v>
      </c>
      <c r="H48" s="20">
        <f>'5.8. Egészségügyi'!H18</f>
        <v>0</v>
      </c>
      <c r="I48" s="20">
        <f>'5.8. Egészségügyi'!I18</f>
        <v>1000000</v>
      </c>
      <c r="J48" s="20">
        <f>'5.8. Egészségügyi'!J18</f>
        <v>0</v>
      </c>
      <c r="K48" s="20">
        <f>'5.8. Egészségügyi'!K18</f>
        <v>0</v>
      </c>
      <c r="L48" s="20">
        <f>'5.8. Egészségügyi'!L18</f>
        <v>0</v>
      </c>
      <c r="M48" s="14">
        <f t="shared" si="6"/>
        <v>1000000</v>
      </c>
      <c r="N48" s="20">
        <f>'5.8. Egészségügyi'!N18</f>
        <v>0</v>
      </c>
      <c r="O48" s="20">
        <f>'5.8. Egészségügyi'!O18</f>
        <v>0</v>
      </c>
      <c r="P48" s="20">
        <f>'5.8. Egészségügyi'!P18</f>
        <v>0</v>
      </c>
      <c r="Q48" s="20">
        <f>'5.8. Egészségügyi'!Q18</f>
        <v>0</v>
      </c>
      <c r="R48" s="20">
        <f>'5.8. Egészségügyi'!R18</f>
        <v>1000000</v>
      </c>
      <c r="S48" s="20">
        <f>'5.8. Egészségügyi'!S18</f>
        <v>0</v>
      </c>
      <c r="T48" s="20">
        <f>'5.8. Egészségügyi'!T18</f>
        <v>0</v>
      </c>
      <c r="U48" s="20">
        <f>'5.8. Egészségügyi'!U18</f>
        <v>0</v>
      </c>
      <c r="V48" s="32">
        <f>'5.8. Egészségügyi'!AE18</f>
        <v>0</v>
      </c>
    </row>
    <row r="49" spans="1:22" s="32" customFormat="1" ht="18.75" thickBot="1">
      <c r="A49" s="353"/>
      <c r="B49" s="12" t="s">
        <v>89</v>
      </c>
      <c r="C49" s="28" t="s">
        <v>44</v>
      </c>
      <c r="D49" s="210">
        <f t="shared" si="3"/>
        <v>0</v>
      </c>
      <c r="E49" s="25">
        <f>'5.8. Egészségügyi'!E20</f>
        <v>0</v>
      </c>
      <c r="F49" s="26">
        <f>'5.8. Egészségügyi'!F20</f>
        <v>0</v>
      </c>
      <c r="G49" s="26">
        <f>'5.8. Egészségügyi'!G20</f>
        <v>0</v>
      </c>
      <c r="H49" s="26">
        <f>'5.8. Egészségügyi'!H20</f>
        <v>0</v>
      </c>
      <c r="I49" s="26">
        <f>'5.8. Egészségügyi'!I20</f>
        <v>0</v>
      </c>
      <c r="J49" s="26">
        <f>'5.8. Egészségügyi'!J20</f>
        <v>0</v>
      </c>
      <c r="K49" s="26">
        <f>'5.8. Egészségügyi'!K20</f>
        <v>0</v>
      </c>
      <c r="L49" s="31">
        <f>'5.8. Egészségügyi'!L20</f>
        <v>0</v>
      </c>
      <c r="M49" s="210">
        <f t="shared" si="6"/>
        <v>0</v>
      </c>
      <c r="N49" s="25">
        <f>'5.8. Egészségügyi'!N20</f>
        <v>0</v>
      </c>
      <c r="O49" s="26">
        <f>'5.8. Egészségügyi'!O20</f>
        <v>0</v>
      </c>
      <c r="P49" s="26">
        <f>'5.8. Egészségügyi'!P20</f>
        <v>0</v>
      </c>
      <c r="Q49" s="26">
        <f>'5.8. Egészségügyi'!Q20</f>
        <v>0</v>
      </c>
      <c r="R49" s="26">
        <f>'5.8. Egészségügyi'!R20</f>
        <v>0</v>
      </c>
      <c r="S49" s="26">
        <f>'5.8. Egészségügyi'!S20</f>
        <v>0</v>
      </c>
      <c r="T49" s="26">
        <f>'5.8. Egészségügyi'!T20</f>
        <v>0</v>
      </c>
      <c r="U49" s="31">
        <f>'5.8. Egészségügyi'!U20</f>
        <v>0</v>
      </c>
      <c r="V49" s="32">
        <f>'5.8. Egészségügyi'!AE20</f>
        <v>0</v>
      </c>
    </row>
    <row r="50" spans="1:22" s="32" customFormat="1" ht="18" customHeight="1">
      <c r="A50" s="10" t="s">
        <v>90</v>
      </c>
      <c r="B50" s="352" t="s">
        <v>91</v>
      </c>
      <c r="C50" s="352"/>
      <c r="D50" s="11">
        <f t="shared" si="3"/>
        <v>57700000</v>
      </c>
      <c r="E50" s="11">
        <f aca="true" t="shared" si="23" ref="E50:L50">SUM(E51:E53)</f>
        <v>0</v>
      </c>
      <c r="F50" s="11">
        <f t="shared" si="23"/>
        <v>0</v>
      </c>
      <c r="G50" s="11">
        <f t="shared" si="23"/>
        <v>3500000</v>
      </c>
      <c r="H50" s="11">
        <f t="shared" si="23"/>
        <v>0</v>
      </c>
      <c r="I50" s="11">
        <f t="shared" si="23"/>
        <v>54200000</v>
      </c>
      <c r="J50" s="11">
        <f t="shared" si="23"/>
        <v>0</v>
      </c>
      <c r="K50" s="11">
        <f t="shared" si="23"/>
        <v>0</v>
      </c>
      <c r="L50" s="11">
        <f t="shared" si="23"/>
        <v>0</v>
      </c>
      <c r="M50" s="11">
        <f t="shared" si="6"/>
        <v>57700000</v>
      </c>
      <c r="N50" s="11">
        <f aca="true" t="shared" si="24" ref="N50:U50">SUM(N51:N53)</f>
        <v>0</v>
      </c>
      <c r="O50" s="11">
        <f t="shared" si="24"/>
        <v>0</v>
      </c>
      <c r="P50" s="11">
        <f t="shared" si="24"/>
        <v>3500000</v>
      </c>
      <c r="Q50" s="11">
        <f t="shared" si="24"/>
        <v>0</v>
      </c>
      <c r="R50" s="11">
        <f t="shared" si="24"/>
        <v>54200000</v>
      </c>
      <c r="S50" s="11">
        <f t="shared" si="24"/>
        <v>0</v>
      </c>
      <c r="T50" s="11">
        <f t="shared" si="24"/>
        <v>0</v>
      </c>
      <c r="U50" s="11">
        <f t="shared" si="24"/>
        <v>0</v>
      </c>
      <c r="V50" s="32">
        <f>SUM(V51:V53)</f>
        <v>0</v>
      </c>
    </row>
    <row r="51" spans="1:22" s="32" customFormat="1" ht="18.75" thickBot="1">
      <c r="A51" s="353"/>
      <c r="B51" s="12" t="s">
        <v>92</v>
      </c>
      <c r="C51" s="19" t="s">
        <v>40</v>
      </c>
      <c r="D51" s="14">
        <f t="shared" si="3"/>
        <v>44500000</v>
      </c>
      <c r="E51" s="15">
        <f>'5.9. Népjólét'!E10</f>
        <v>0</v>
      </c>
      <c r="F51" s="15">
        <f>'5.9. Népjólét'!F10</f>
        <v>0</v>
      </c>
      <c r="G51" s="15">
        <f>'5.9. Népjólét'!G10</f>
        <v>3500000</v>
      </c>
      <c r="H51" s="15">
        <f>'5.9. Népjólét'!H10</f>
        <v>0</v>
      </c>
      <c r="I51" s="15">
        <f>'5.9. Népjólét'!I10</f>
        <v>41000000</v>
      </c>
      <c r="J51" s="15">
        <f>'5.9. Népjólét'!J10</f>
        <v>0</v>
      </c>
      <c r="K51" s="15">
        <f>'5.9. Népjólét'!K10</f>
        <v>0</v>
      </c>
      <c r="L51" s="15">
        <f>'5.9. Népjólét'!L10</f>
        <v>0</v>
      </c>
      <c r="M51" s="14">
        <f t="shared" si="6"/>
        <v>44500000</v>
      </c>
      <c r="N51" s="15">
        <f>'5.9. Népjólét'!N10</f>
        <v>0</v>
      </c>
      <c r="O51" s="15">
        <f>'5.9. Népjólét'!O10</f>
        <v>0</v>
      </c>
      <c r="P51" s="15">
        <f>'5.9. Népjólét'!P10</f>
        <v>3500000</v>
      </c>
      <c r="Q51" s="15">
        <f>'5.9. Népjólét'!Q10</f>
        <v>0</v>
      </c>
      <c r="R51" s="15">
        <f>'5.9. Népjólét'!R10</f>
        <v>41000000</v>
      </c>
      <c r="S51" s="15">
        <f>'5.9. Népjólét'!S10</f>
        <v>0</v>
      </c>
      <c r="T51" s="15">
        <f>'5.9. Népjólét'!T10</f>
        <v>0</v>
      </c>
      <c r="U51" s="15">
        <f>'5.9. Népjólét'!U10</f>
        <v>0</v>
      </c>
      <c r="V51" s="32">
        <f>'5.9. Népjólét'!AE10</f>
        <v>0</v>
      </c>
    </row>
    <row r="52" spans="1:22" s="32" customFormat="1" ht="18.75" thickBot="1">
      <c r="A52" s="353"/>
      <c r="B52" s="12" t="s">
        <v>93</v>
      </c>
      <c r="C52" s="19" t="s">
        <v>42</v>
      </c>
      <c r="D52" s="14">
        <f t="shared" si="3"/>
        <v>13200000</v>
      </c>
      <c r="E52" s="20">
        <f>'5.9. Népjólét'!E14</f>
        <v>0</v>
      </c>
      <c r="F52" s="20">
        <f>'5.9. Népjólét'!F14</f>
        <v>0</v>
      </c>
      <c r="G52" s="20">
        <f>'5.9. Népjólét'!G14</f>
        <v>0</v>
      </c>
      <c r="H52" s="20">
        <f>'5.9. Népjólét'!H14</f>
        <v>0</v>
      </c>
      <c r="I52" s="20">
        <f>'5.9. Népjólét'!I14</f>
        <v>13200000</v>
      </c>
      <c r="J52" s="20">
        <f>'5.9. Népjólét'!J14</f>
        <v>0</v>
      </c>
      <c r="K52" s="20">
        <f>'5.9. Népjólét'!K14</f>
        <v>0</v>
      </c>
      <c r="L52" s="20">
        <f>'5.9. Népjólét'!L14</f>
        <v>0</v>
      </c>
      <c r="M52" s="14">
        <f t="shared" si="6"/>
        <v>13200000</v>
      </c>
      <c r="N52" s="20">
        <f>'5.9. Népjólét'!N14</f>
        <v>0</v>
      </c>
      <c r="O52" s="20">
        <f>'5.9. Népjólét'!O14</f>
        <v>0</v>
      </c>
      <c r="P52" s="20">
        <f>'5.9. Népjólét'!P14</f>
        <v>0</v>
      </c>
      <c r="Q52" s="20">
        <f>'5.9. Népjólét'!Q14</f>
        <v>0</v>
      </c>
      <c r="R52" s="20">
        <f>'5.9. Népjólét'!R14</f>
        <v>13200000</v>
      </c>
      <c r="S52" s="20">
        <f>'5.9. Népjólét'!S14</f>
        <v>0</v>
      </c>
      <c r="T52" s="20">
        <f>'5.9. Népjólét'!T14</f>
        <v>0</v>
      </c>
      <c r="U52" s="20">
        <f>'5.9. Népjólét'!U14</f>
        <v>0</v>
      </c>
      <c r="V52" s="32">
        <f>'5.9. Népjólét'!AE14</f>
        <v>0</v>
      </c>
    </row>
    <row r="53" spans="1:22" s="32" customFormat="1" ht="18.75" thickBot="1">
      <c r="A53" s="353"/>
      <c r="B53" s="12" t="s">
        <v>94</v>
      </c>
      <c r="C53" s="28" t="s">
        <v>44</v>
      </c>
      <c r="D53" s="210">
        <f t="shared" si="3"/>
        <v>0</v>
      </c>
      <c r="E53" s="25">
        <f>'5.9. Népjólét'!E18</f>
        <v>0</v>
      </c>
      <c r="F53" s="26">
        <f>'5.9. Népjólét'!F18</f>
        <v>0</v>
      </c>
      <c r="G53" s="26">
        <f>'5.9. Népjólét'!G18</f>
        <v>0</v>
      </c>
      <c r="H53" s="26">
        <f>'5.9. Népjólét'!H18</f>
        <v>0</v>
      </c>
      <c r="I53" s="26">
        <f>'5.9. Népjólét'!I18</f>
        <v>0</v>
      </c>
      <c r="J53" s="26">
        <f>'5.9. Népjólét'!J18</f>
        <v>0</v>
      </c>
      <c r="K53" s="26">
        <f>'5.9. Népjólét'!K18</f>
        <v>0</v>
      </c>
      <c r="L53" s="31">
        <f>'5.9. Népjólét'!L18</f>
        <v>0</v>
      </c>
      <c r="M53" s="210">
        <f t="shared" si="6"/>
        <v>0</v>
      </c>
      <c r="N53" s="25">
        <f>'5.9. Népjólét'!N18</f>
        <v>0</v>
      </c>
      <c r="O53" s="26">
        <f>'5.9. Népjólét'!O18</f>
        <v>0</v>
      </c>
      <c r="P53" s="26">
        <f>'5.9. Népjólét'!P18</f>
        <v>0</v>
      </c>
      <c r="Q53" s="26">
        <f>'5.9. Népjólét'!Q18</f>
        <v>0</v>
      </c>
      <c r="R53" s="26">
        <f>'5.9. Népjólét'!R18</f>
        <v>0</v>
      </c>
      <c r="S53" s="26">
        <f>'5.9. Népjólét'!S18</f>
        <v>0</v>
      </c>
      <c r="T53" s="26">
        <f>'5.9. Népjólét'!T18</f>
        <v>0</v>
      </c>
      <c r="U53" s="31">
        <f>'5.9. Népjólét'!U18</f>
        <v>0</v>
      </c>
      <c r="V53" s="32">
        <f>'5.9. Népjólét'!AE18</f>
        <v>0</v>
      </c>
    </row>
    <row r="54" spans="1:22" s="32" customFormat="1" ht="28.5" customHeight="1">
      <c r="A54" s="10" t="s">
        <v>95</v>
      </c>
      <c r="B54" s="352" t="s">
        <v>96</v>
      </c>
      <c r="C54" s="352"/>
      <c r="D54" s="11">
        <f t="shared" si="3"/>
        <v>75569270</v>
      </c>
      <c r="E54" s="11">
        <f aca="true" t="shared" si="25" ref="E54:L54">SUM(E55:E57)</f>
        <v>16392600</v>
      </c>
      <c r="F54" s="11">
        <f t="shared" si="25"/>
        <v>2220000</v>
      </c>
      <c r="G54" s="11">
        <f t="shared" si="25"/>
        <v>14856670</v>
      </c>
      <c r="H54" s="11">
        <f t="shared" si="25"/>
        <v>0</v>
      </c>
      <c r="I54" s="11">
        <f t="shared" si="25"/>
        <v>42100000</v>
      </c>
      <c r="J54" s="11">
        <f t="shared" si="25"/>
        <v>0</v>
      </c>
      <c r="K54" s="11">
        <f t="shared" si="25"/>
        <v>0</v>
      </c>
      <c r="L54" s="11">
        <f t="shared" si="25"/>
        <v>0</v>
      </c>
      <c r="M54" s="11">
        <f>SUM(N54:U54)</f>
        <v>101569270</v>
      </c>
      <c r="N54" s="11">
        <f aca="true" t="shared" si="26" ref="N54:U54">SUM(N55:N57)</f>
        <v>16392600</v>
      </c>
      <c r="O54" s="11">
        <f t="shared" si="26"/>
        <v>2220000</v>
      </c>
      <c r="P54" s="11">
        <f t="shared" si="26"/>
        <v>14856670</v>
      </c>
      <c r="Q54" s="11">
        <f t="shared" si="26"/>
        <v>0</v>
      </c>
      <c r="R54" s="11">
        <f t="shared" si="26"/>
        <v>68100000</v>
      </c>
      <c r="S54" s="11">
        <f t="shared" si="26"/>
        <v>0</v>
      </c>
      <c r="T54" s="11">
        <f t="shared" si="26"/>
        <v>0</v>
      </c>
      <c r="U54" s="11">
        <f t="shared" si="26"/>
        <v>0</v>
      </c>
      <c r="V54" s="32">
        <f>SUM(V55:V57)</f>
        <v>0</v>
      </c>
    </row>
    <row r="55" spans="1:22" s="32" customFormat="1" ht="18.75" thickBot="1">
      <c r="A55" s="353"/>
      <c r="B55" s="12" t="s">
        <v>97</v>
      </c>
      <c r="C55" s="19" t="s">
        <v>40</v>
      </c>
      <c r="D55" s="14">
        <f t="shared" si="3"/>
        <v>12856670</v>
      </c>
      <c r="E55" s="15">
        <f>'5.10. Sportfeladatok'!E10</f>
        <v>0</v>
      </c>
      <c r="F55" s="15">
        <f>'5.10. Sportfeladatok'!F10</f>
        <v>0</v>
      </c>
      <c r="G55" s="15">
        <f>'5.10. Sportfeladatok'!G10</f>
        <v>7856670</v>
      </c>
      <c r="H55" s="15">
        <f>'5.10. Sportfeladatok'!H10</f>
        <v>0</v>
      </c>
      <c r="I55" s="15">
        <f>'5.10. Sportfeladatok'!I10</f>
        <v>5000000</v>
      </c>
      <c r="J55" s="15">
        <f>'5.10. Sportfeladatok'!J10</f>
        <v>0</v>
      </c>
      <c r="K55" s="15">
        <f>'5.10. Sportfeladatok'!K10</f>
        <v>0</v>
      </c>
      <c r="L55" s="15">
        <f>'5.10. Sportfeladatok'!L10</f>
        <v>0</v>
      </c>
      <c r="M55" s="14">
        <f t="shared" si="6"/>
        <v>12856670</v>
      </c>
      <c r="N55" s="15">
        <f>'5.10. Sportfeladatok'!N10</f>
        <v>0</v>
      </c>
      <c r="O55" s="15">
        <f>'5.10. Sportfeladatok'!O10</f>
        <v>0</v>
      </c>
      <c r="P55" s="15">
        <f>'5.10. Sportfeladatok'!P10</f>
        <v>7856670</v>
      </c>
      <c r="Q55" s="15">
        <f>'5.10. Sportfeladatok'!Q10</f>
        <v>0</v>
      </c>
      <c r="R55" s="15">
        <f>'5.10. Sportfeladatok'!R10</f>
        <v>5000000</v>
      </c>
      <c r="S55" s="15">
        <f>'5.10. Sportfeladatok'!S10</f>
        <v>0</v>
      </c>
      <c r="T55" s="15">
        <f>'5.10. Sportfeladatok'!T10</f>
        <v>0</v>
      </c>
      <c r="U55" s="15">
        <f>'5.10. Sportfeladatok'!U10</f>
        <v>0</v>
      </c>
      <c r="V55" s="32">
        <f>'5.10. Sportfeladatok'!AE10</f>
        <v>0</v>
      </c>
    </row>
    <row r="56" spans="1:22" s="32" customFormat="1" ht="18.75" thickBot="1">
      <c r="A56" s="353"/>
      <c r="B56" s="12" t="s">
        <v>98</v>
      </c>
      <c r="C56" s="19" t="s">
        <v>42</v>
      </c>
      <c r="D56" s="14">
        <f t="shared" si="3"/>
        <v>62712600</v>
      </c>
      <c r="E56" s="20">
        <f>'5.10. Sportfeladatok'!E16</f>
        <v>16392600</v>
      </c>
      <c r="F56" s="20">
        <f>'5.10. Sportfeladatok'!F16</f>
        <v>2220000</v>
      </c>
      <c r="G56" s="20">
        <f>'5.10. Sportfeladatok'!G16</f>
        <v>7000000</v>
      </c>
      <c r="H56" s="20">
        <f>'5.10. Sportfeladatok'!H16</f>
        <v>0</v>
      </c>
      <c r="I56" s="20">
        <f>'5.10. Sportfeladatok'!I16</f>
        <v>37100000</v>
      </c>
      <c r="J56" s="20">
        <f>'5.10. Sportfeladatok'!J16</f>
        <v>0</v>
      </c>
      <c r="K56" s="20">
        <f>'5.10. Sportfeladatok'!K16</f>
        <v>0</v>
      </c>
      <c r="L56" s="20">
        <f>'5.10. Sportfeladatok'!L16</f>
        <v>0</v>
      </c>
      <c r="M56" s="14">
        <f t="shared" si="6"/>
        <v>88712600</v>
      </c>
      <c r="N56" s="20">
        <f>'5.10. Sportfeladatok'!N16</f>
        <v>16392600</v>
      </c>
      <c r="O56" s="20">
        <f>'5.10. Sportfeladatok'!O16</f>
        <v>2220000</v>
      </c>
      <c r="P56" s="20">
        <f>'5.10. Sportfeladatok'!P16</f>
        <v>7000000</v>
      </c>
      <c r="Q56" s="20">
        <f>'5.10. Sportfeladatok'!Q16</f>
        <v>0</v>
      </c>
      <c r="R56" s="20">
        <f>'5.10. Sportfeladatok'!R16</f>
        <v>63100000</v>
      </c>
      <c r="S56" s="20">
        <f>'5.10. Sportfeladatok'!S16</f>
        <v>0</v>
      </c>
      <c r="T56" s="20">
        <f>'5.10. Sportfeladatok'!T16</f>
        <v>0</v>
      </c>
      <c r="U56" s="20">
        <f>'5.10. Sportfeladatok'!U16</f>
        <v>0</v>
      </c>
      <c r="V56" s="32">
        <f>'5.10. Sportfeladatok'!AE16</f>
        <v>0</v>
      </c>
    </row>
    <row r="57" spans="1:22" s="32" customFormat="1" ht="18.75" thickBot="1">
      <c r="A57" s="353"/>
      <c r="B57" s="12" t="s">
        <v>99</v>
      </c>
      <c r="C57" s="28" t="s">
        <v>44</v>
      </c>
      <c r="D57" s="210">
        <f t="shared" si="3"/>
        <v>0</v>
      </c>
      <c r="E57" s="25">
        <f>'5.10. Sportfeladatok'!E24</f>
        <v>0</v>
      </c>
      <c r="F57" s="25">
        <f>'5.10. Sportfeladatok'!F24</f>
        <v>0</v>
      </c>
      <c r="G57" s="25">
        <f>'5.10. Sportfeladatok'!G24</f>
        <v>0</v>
      </c>
      <c r="H57" s="25">
        <f>'5.10. Sportfeladatok'!H24</f>
        <v>0</v>
      </c>
      <c r="I57" s="25">
        <f>'5.10. Sportfeladatok'!I24</f>
        <v>0</v>
      </c>
      <c r="J57" s="25">
        <f>'5.10. Sportfeladatok'!J24</f>
        <v>0</v>
      </c>
      <c r="K57" s="25">
        <f>'5.10. Sportfeladatok'!K24</f>
        <v>0</v>
      </c>
      <c r="L57" s="25">
        <f>'5.10. Sportfeladatok'!L24</f>
        <v>0</v>
      </c>
      <c r="M57" s="210">
        <f t="shared" si="6"/>
        <v>0</v>
      </c>
      <c r="N57" s="25">
        <f>'5.10. Sportfeladatok'!N24</f>
        <v>0</v>
      </c>
      <c r="O57" s="25">
        <f>'5.10. Sportfeladatok'!O24</f>
        <v>0</v>
      </c>
      <c r="P57" s="25">
        <f>'5.10. Sportfeladatok'!P24</f>
        <v>0</v>
      </c>
      <c r="Q57" s="25">
        <f>'5.10. Sportfeladatok'!Q24</f>
        <v>0</v>
      </c>
      <c r="R57" s="25">
        <f>'5.10. Sportfeladatok'!R24</f>
        <v>0</v>
      </c>
      <c r="S57" s="25">
        <f>'5.10. Sportfeladatok'!S24</f>
        <v>0</v>
      </c>
      <c r="T57" s="25">
        <f>'5.10. Sportfeladatok'!T24</f>
        <v>0</v>
      </c>
      <c r="U57" s="25">
        <f>'5.10. Sportfeladatok'!U24</f>
        <v>0</v>
      </c>
      <c r="V57" s="32">
        <f>'5.10. Sportfeladatok'!AE24</f>
        <v>0</v>
      </c>
    </row>
    <row r="58" spans="1:22" s="32" customFormat="1" ht="18" customHeight="1">
      <c r="A58" s="10" t="s">
        <v>100</v>
      </c>
      <c r="B58" s="352" t="s">
        <v>101</v>
      </c>
      <c r="C58" s="352"/>
      <c r="D58" s="11">
        <f t="shared" si="3"/>
        <v>391347261</v>
      </c>
      <c r="E58" s="11">
        <f aca="true" t="shared" si="27" ref="E58:L58">SUM(E59:E60)</f>
        <v>0</v>
      </c>
      <c r="F58" s="11">
        <f t="shared" si="27"/>
        <v>0</v>
      </c>
      <c r="G58" s="11">
        <f t="shared" si="27"/>
        <v>0</v>
      </c>
      <c r="H58" s="11">
        <f t="shared" si="27"/>
        <v>391347261</v>
      </c>
      <c r="I58" s="11">
        <f t="shared" si="27"/>
        <v>0</v>
      </c>
      <c r="J58" s="11">
        <f t="shared" si="27"/>
        <v>0</v>
      </c>
      <c r="K58" s="11">
        <f t="shared" si="27"/>
        <v>0</v>
      </c>
      <c r="L58" s="11">
        <f t="shared" si="27"/>
        <v>0</v>
      </c>
      <c r="M58" s="11">
        <f t="shared" si="6"/>
        <v>392062538</v>
      </c>
      <c r="N58" s="11">
        <f aca="true" t="shared" si="28" ref="N58:U58">SUM(N59:N60)</f>
        <v>0</v>
      </c>
      <c r="O58" s="11">
        <f t="shared" si="28"/>
        <v>0</v>
      </c>
      <c r="P58" s="11">
        <f t="shared" si="28"/>
        <v>0</v>
      </c>
      <c r="Q58" s="11">
        <f t="shared" si="28"/>
        <v>392062538</v>
      </c>
      <c r="R58" s="11">
        <f t="shared" si="28"/>
        <v>0</v>
      </c>
      <c r="S58" s="11">
        <f t="shared" si="28"/>
        <v>0</v>
      </c>
      <c r="T58" s="11">
        <f t="shared" si="28"/>
        <v>0</v>
      </c>
      <c r="U58" s="11">
        <f t="shared" si="28"/>
        <v>0</v>
      </c>
      <c r="V58" s="32">
        <f>SUM(V59:V60)</f>
        <v>0</v>
      </c>
    </row>
    <row r="59" spans="1:22" s="32" customFormat="1" ht="18.75" thickBot="1">
      <c r="A59" s="353"/>
      <c r="B59" s="12" t="s">
        <v>102</v>
      </c>
      <c r="C59" s="19" t="s">
        <v>40</v>
      </c>
      <c r="D59" s="14">
        <f t="shared" si="3"/>
        <v>208308088</v>
      </c>
      <c r="E59" s="15">
        <f>'5.11. Szoc'!F10</f>
        <v>0</v>
      </c>
      <c r="F59" s="15">
        <f>'5.11. Szoc'!G10</f>
        <v>0</v>
      </c>
      <c r="G59" s="15">
        <f>'5.11. Szoc'!H10</f>
        <v>0</v>
      </c>
      <c r="H59" s="15">
        <f>'5.11. Szoc'!I10</f>
        <v>208308088</v>
      </c>
      <c r="I59" s="15">
        <f>'5.11. Szoc'!J10</f>
        <v>0</v>
      </c>
      <c r="J59" s="15">
        <f>'5.11. Szoc'!K10</f>
        <v>0</v>
      </c>
      <c r="K59" s="15">
        <f>'5.11. Szoc'!L10</f>
        <v>0</v>
      </c>
      <c r="L59" s="15">
        <f>'5.11. Szoc'!M10</f>
        <v>0</v>
      </c>
      <c r="M59" s="14">
        <f t="shared" si="6"/>
        <v>209023365</v>
      </c>
      <c r="N59" s="15">
        <f>'5.11. Szoc'!O10</f>
        <v>0</v>
      </c>
      <c r="O59" s="15">
        <f>'5.11. Szoc'!P10</f>
        <v>0</v>
      </c>
      <c r="P59" s="15">
        <f>'5.11. Szoc'!Q10</f>
        <v>0</v>
      </c>
      <c r="Q59" s="15">
        <f>'5.11. Szoc'!R10</f>
        <v>209023365</v>
      </c>
      <c r="R59" s="15">
        <f>'5.11. Szoc'!S10</f>
        <v>0</v>
      </c>
      <c r="S59" s="15">
        <f>'5.11. Szoc'!T10</f>
        <v>0</v>
      </c>
      <c r="T59" s="15">
        <f>'5.11. Szoc'!U10</f>
        <v>0</v>
      </c>
      <c r="U59" s="15">
        <f>'5.11. Szoc'!V10</f>
        <v>0</v>
      </c>
      <c r="V59" s="32">
        <f>'5.11. Szoc'!AF10</f>
        <v>0</v>
      </c>
    </row>
    <row r="60" spans="1:22" s="32" customFormat="1" ht="18.75" thickBot="1">
      <c r="A60" s="353"/>
      <c r="B60" s="12" t="s">
        <v>103</v>
      </c>
      <c r="C60" s="19" t="s">
        <v>42</v>
      </c>
      <c r="D60" s="14">
        <f t="shared" si="3"/>
        <v>183039173</v>
      </c>
      <c r="E60" s="20">
        <f>'5.11. Szoc'!F23</f>
        <v>0</v>
      </c>
      <c r="F60" s="20">
        <f>'5.11. Szoc'!G23</f>
        <v>0</v>
      </c>
      <c r="G60" s="20">
        <f>'5.11. Szoc'!H23</f>
        <v>0</v>
      </c>
      <c r="H60" s="20">
        <f>'5.11. Szoc'!I23</f>
        <v>183039173</v>
      </c>
      <c r="I60" s="20">
        <f>'5.11. Szoc'!J23</f>
        <v>0</v>
      </c>
      <c r="J60" s="20">
        <f>'5.11. Szoc'!K23</f>
        <v>0</v>
      </c>
      <c r="K60" s="20">
        <f>'5.11. Szoc'!L23</f>
        <v>0</v>
      </c>
      <c r="L60" s="20">
        <f>'5.11. Szoc'!M23</f>
        <v>0</v>
      </c>
      <c r="M60" s="14">
        <f t="shared" si="6"/>
        <v>183039173</v>
      </c>
      <c r="N60" s="20">
        <f>'5.11. Szoc'!O23</f>
        <v>0</v>
      </c>
      <c r="O60" s="20">
        <f>'5.11. Szoc'!P23</f>
        <v>0</v>
      </c>
      <c r="P60" s="20">
        <f>'5.11. Szoc'!Q23</f>
        <v>0</v>
      </c>
      <c r="Q60" s="20">
        <f>'5.11. Szoc'!R23</f>
        <v>183039173</v>
      </c>
      <c r="R60" s="20">
        <f>'5.11. Szoc'!S23</f>
        <v>0</v>
      </c>
      <c r="S60" s="20">
        <f>'5.11. Szoc'!T23</f>
        <v>0</v>
      </c>
      <c r="T60" s="20">
        <f>'5.11. Szoc'!U23</f>
        <v>0</v>
      </c>
      <c r="U60" s="20">
        <f>'5.11. Szoc'!V23</f>
        <v>0</v>
      </c>
      <c r="V60" s="32">
        <f>'5.11. Szoc'!AF23</f>
        <v>0</v>
      </c>
    </row>
    <row r="61" spans="1:22" s="32" customFormat="1" ht="18.75" thickBot="1">
      <c r="A61" s="353"/>
      <c r="B61" s="12" t="s">
        <v>104</v>
      </c>
      <c r="C61" s="28" t="s">
        <v>44</v>
      </c>
      <c r="D61" s="210">
        <f t="shared" si="3"/>
        <v>0</v>
      </c>
      <c r="E61" s="25">
        <f>'5.11. Szoc'!F27</f>
        <v>0</v>
      </c>
      <c r="F61" s="25">
        <f>'5.11. Szoc'!G27</f>
        <v>0</v>
      </c>
      <c r="G61" s="25">
        <f>'5.11. Szoc'!H27</f>
        <v>0</v>
      </c>
      <c r="H61" s="25">
        <f>'5.11. Szoc'!I27</f>
        <v>0</v>
      </c>
      <c r="I61" s="25">
        <f>'5.11. Szoc'!J27</f>
        <v>0</v>
      </c>
      <c r="J61" s="25">
        <f>'5.11. Szoc'!K27</f>
        <v>0</v>
      </c>
      <c r="K61" s="25">
        <f>'5.11. Szoc'!L27</f>
        <v>0</v>
      </c>
      <c r="L61" s="25">
        <f>'5.11. Szoc'!M27</f>
        <v>0</v>
      </c>
      <c r="M61" s="210">
        <f t="shared" si="6"/>
        <v>0</v>
      </c>
      <c r="N61" s="25">
        <f>'5.11. Szoc'!O27</f>
        <v>0</v>
      </c>
      <c r="O61" s="25">
        <f>'5.11. Szoc'!P27</f>
        <v>0</v>
      </c>
      <c r="P61" s="25">
        <f>'5.11. Szoc'!Q27</f>
        <v>0</v>
      </c>
      <c r="Q61" s="25">
        <f>'5.11. Szoc'!R27</f>
        <v>0</v>
      </c>
      <c r="R61" s="25">
        <f>'5.11. Szoc'!S27</f>
        <v>0</v>
      </c>
      <c r="S61" s="25">
        <f>'5.11. Szoc'!T27</f>
        <v>0</v>
      </c>
      <c r="T61" s="25">
        <f>'5.11. Szoc'!U27</f>
        <v>0</v>
      </c>
      <c r="U61" s="25">
        <f>'5.11. Szoc'!V27</f>
        <v>0</v>
      </c>
      <c r="V61" s="32">
        <f>'5.11. Szoc'!AF27</f>
        <v>0</v>
      </c>
    </row>
    <row r="62" spans="1:22" s="32" customFormat="1" ht="18" customHeight="1">
      <c r="A62" s="10" t="s">
        <v>105</v>
      </c>
      <c r="B62" s="352" t="s">
        <v>106</v>
      </c>
      <c r="C62" s="352"/>
      <c r="D62" s="11">
        <f t="shared" si="3"/>
        <v>20000000</v>
      </c>
      <c r="E62" s="11">
        <f aca="true" t="shared" si="29" ref="E62:L62">SUM(E63:E65)</f>
        <v>0</v>
      </c>
      <c r="F62" s="11">
        <f t="shared" si="29"/>
        <v>0</v>
      </c>
      <c r="G62" s="11">
        <f t="shared" si="29"/>
        <v>0</v>
      </c>
      <c r="H62" s="11">
        <f t="shared" si="29"/>
        <v>0</v>
      </c>
      <c r="I62" s="11">
        <f t="shared" si="29"/>
        <v>20000000</v>
      </c>
      <c r="J62" s="11">
        <f t="shared" si="29"/>
        <v>0</v>
      </c>
      <c r="K62" s="11">
        <f t="shared" si="29"/>
        <v>0</v>
      </c>
      <c r="L62" s="11">
        <f t="shared" si="29"/>
        <v>0</v>
      </c>
      <c r="M62" s="11">
        <f t="shared" si="6"/>
        <v>20000000</v>
      </c>
      <c r="N62" s="11">
        <f aca="true" t="shared" si="30" ref="N62:U62">SUM(N63:N65)</f>
        <v>0</v>
      </c>
      <c r="O62" s="11">
        <f t="shared" si="30"/>
        <v>0</v>
      </c>
      <c r="P62" s="11">
        <f t="shared" si="30"/>
        <v>0</v>
      </c>
      <c r="Q62" s="11">
        <f t="shared" si="30"/>
        <v>0</v>
      </c>
      <c r="R62" s="11">
        <f t="shared" si="30"/>
        <v>20000000</v>
      </c>
      <c r="S62" s="11">
        <f t="shared" si="30"/>
        <v>0</v>
      </c>
      <c r="T62" s="11">
        <f t="shared" si="30"/>
        <v>0</v>
      </c>
      <c r="U62" s="11">
        <f t="shared" si="30"/>
        <v>0</v>
      </c>
      <c r="V62" s="32">
        <f>SUM(V63:V65)</f>
        <v>0</v>
      </c>
    </row>
    <row r="63" spans="1:22" s="32" customFormat="1" ht="18.75" thickBot="1">
      <c r="A63" s="353"/>
      <c r="B63" s="12" t="s">
        <v>107</v>
      </c>
      <c r="C63" s="19" t="s">
        <v>40</v>
      </c>
      <c r="D63" s="14">
        <f t="shared" si="3"/>
        <v>20000000</v>
      </c>
      <c r="E63" s="15">
        <v>0</v>
      </c>
      <c r="F63" s="16">
        <v>0</v>
      </c>
      <c r="G63" s="16">
        <v>0</v>
      </c>
      <c r="H63" s="16">
        <v>0</v>
      </c>
      <c r="I63" s="16">
        <v>20000000</v>
      </c>
      <c r="J63" s="16">
        <v>0</v>
      </c>
      <c r="K63" s="16">
        <v>0</v>
      </c>
      <c r="L63" s="17">
        <v>0</v>
      </c>
      <c r="M63" s="14">
        <f t="shared" si="6"/>
        <v>20000000</v>
      </c>
      <c r="N63" s="15">
        <v>0</v>
      </c>
      <c r="O63" s="16">
        <v>0</v>
      </c>
      <c r="P63" s="16">
        <v>0</v>
      </c>
      <c r="Q63" s="16">
        <v>0</v>
      </c>
      <c r="R63" s="16">
        <v>20000000</v>
      </c>
      <c r="S63" s="16">
        <v>0</v>
      </c>
      <c r="T63" s="16">
        <v>0</v>
      </c>
      <c r="U63" s="17">
        <v>0</v>
      </c>
      <c r="V63" s="32">
        <v>0</v>
      </c>
    </row>
    <row r="64" spans="1:22" s="32" customFormat="1" ht="18.75" thickBot="1">
      <c r="A64" s="353"/>
      <c r="B64" s="12" t="s">
        <v>108</v>
      </c>
      <c r="C64" s="19" t="s">
        <v>42</v>
      </c>
      <c r="D64" s="14">
        <f t="shared" si="3"/>
        <v>0</v>
      </c>
      <c r="E64" s="20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2">
        <v>0</v>
      </c>
      <c r="M64" s="14">
        <f t="shared" si="6"/>
        <v>0</v>
      </c>
      <c r="N64" s="20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2">
        <v>0</v>
      </c>
      <c r="V64" s="32">
        <v>0</v>
      </c>
    </row>
    <row r="65" spans="1:22" s="32" customFormat="1" ht="18.75" thickBot="1">
      <c r="A65" s="353"/>
      <c r="B65" s="12" t="s">
        <v>109</v>
      </c>
      <c r="C65" s="28" t="s">
        <v>44</v>
      </c>
      <c r="D65" s="210">
        <f t="shared" si="3"/>
        <v>0</v>
      </c>
      <c r="E65" s="25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7">
        <v>0</v>
      </c>
      <c r="M65" s="210">
        <f t="shared" si="6"/>
        <v>0</v>
      </c>
      <c r="N65" s="25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7">
        <v>0</v>
      </c>
      <c r="V65" s="32">
        <v>0</v>
      </c>
    </row>
    <row r="66" spans="1:22" s="32" customFormat="1" ht="18" customHeight="1">
      <c r="A66" s="10" t="s">
        <v>110</v>
      </c>
      <c r="B66" s="352" t="s">
        <v>111</v>
      </c>
      <c r="C66" s="352"/>
      <c r="D66" s="11">
        <f t="shared" si="3"/>
        <v>288639523</v>
      </c>
      <c r="E66" s="11">
        <f aca="true" t="shared" si="31" ref="E66:L66">SUM(E67:E69)</f>
        <v>9576471</v>
      </c>
      <c r="F66" s="11">
        <f t="shared" si="31"/>
        <v>4968287</v>
      </c>
      <c r="G66" s="11">
        <f t="shared" si="31"/>
        <v>41291005</v>
      </c>
      <c r="H66" s="11">
        <f t="shared" si="31"/>
        <v>0</v>
      </c>
      <c r="I66" s="11">
        <f t="shared" si="31"/>
        <v>64070760</v>
      </c>
      <c r="J66" s="11">
        <f t="shared" si="31"/>
        <v>86233000</v>
      </c>
      <c r="K66" s="11">
        <f t="shared" si="31"/>
        <v>0</v>
      </c>
      <c r="L66" s="11">
        <f t="shared" si="31"/>
        <v>82500000</v>
      </c>
      <c r="M66" s="11">
        <f t="shared" si="6"/>
        <v>291837023</v>
      </c>
      <c r="N66" s="11">
        <f aca="true" t="shared" si="32" ref="N66:U66">SUM(N67:N69)</f>
        <v>9576471</v>
      </c>
      <c r="O66" s="11">
        <f t="shared" si="32"/>
        <v>4968287</v>
      </c>
      <c r="P66" s="11">
        <f t="shared" si="32"/>
        <v>40588505</v>
      </c>
      <c r="Q66" s="11">
        <f t="shared" si="32"/>
        <v>0</v>
      </c>
      <c r="R66" s="11">
        <f t="shared" si="32"/>
        <v>67970760</v>
      </c>
      <c r="S66" s="11">
        <f t="shared" si="32"/>
        <v>86233000</v>
      </c>
      <c r="T66" s="11">
        <f t="shared" si="32"/>
        <v>0</v>
      </c>
      <c r="U66" s="11">
        <f t="shared" si="32"/>
        <v>82500000</v>
      </c>
      <c r="V66" s="32">
        <f>SUM(V67:V69)</f>
        <v>0</v>
      </c>
    </row>
    <row r="67" spans="1:22" s="32" customFormat="1" ht="18.75" thickBot="1">
      <c r="A67" s="353"/>
      <c r="B67" s="12" t="s">
        <v>112</v>
      </c>
      <c r="C67" s="19" t="s">
        <v>40</v>
      </c>
      <c r="D67" s="14">
        <f t="shared" si="3"/>
        <v>288639523</v>
      </c>
      <c r="E67" s="15">
        <f>'5.12. Közművelődés'!F10</f>
        <v>9576471</v>
      </c>
      <c r="F67" s="15">
        <f>'5.12. Közművelődés'!G10</f>
        <v>4968287</v>
      </c>
      <c r="G67" s="15">
        <f>'5.12. Közművelődés'!H10</f>
        <v>41291005</v>
      </c>
      <c r="H67" s="15">
        <f>'5.12. Közművelődés'!I10</f>
        <v>0</v>
      </c>
      <c r="I67" s="15">
        <f>'5.12. Közművelődés'!J10</f>
        <v>64070760</v>
      </c>
      <c r="J67" s="15">
        <f>'5.12. Közművelődés'!K10</f>
        <v>86233000</v>
      </c>
      <c r="K67" s="15">
        <f>'5.12. Közművelődés'!L10</f>
        <v>0</v>
      </c>
      <c r="L67" s="15">
        <f>'5.12. Közművelődés'!M10</f>
        <v>82500000</v>
      </c>
      <c r="M67" s="14">
        <f t="shared" si="6"/>
        <v>291837023</v>
      </c>
      <c r="N67" s="15">
        <f>'5.12. Közművelődés'!O10</f>
        <v>9576471</v>
      </c>
      <c r="O67" s="15">
        <f>'5.12. Közművelődés'!P10</f>
        <v>4968287</v>
      </c>
      <c r="P67" s="15">
        <f>'5.12. Közművelődés'!Q10</f>
        <v>40588505</v>
      </c>
      <c r="Q67" s="15">
        <f>'5.12. Közművelődés'!R10</f>
        <v>0</v>
      </c>
      <c r="R67" s="15">
        <f>'5.12. Közművelődés'!S10</f>
        <v>67970760</v>
      </c>
      <c r="S67" s="15">
        <f>'5.12. Közművelődés'!T10</f>
        <v>86233000</v>
      </c>
      <c r="T67" s="15">
        <f>'5.12. Közművelődés'!U10</f>
        <v>0</v>
      </c>
      <c r="U67" s="15">
        <f>'5.12. Közművelődés'!V10</f>
        <v>82500000</v>
      </c>
      <c r="V67" s="32">
        <f>'5.12. Közművelődés'!AF10</f>
        <v>0</v>
      </c>
    </row>
    <row r="68" spans="1:22" s="32" customFormat="1" ht="18.75" thickBot="1">
      <c r="A68" s="353"/>
      <c r="B68" s="12" t="s">
        <v>113</v>
      </c>
      <c r="C68" s="19" t="s">
        <v>42</v>
      </c>
      <c r="D68" s="14">
        <f t="shared" si="3"/>
        <v>0</v>
      </c>
      <c r="E68" s="20">
        <f>'5.12. Közművelődés'!F39</f>
        <v>0</v>
      </c>
      <c r="F68" s="20">
        <f>'5.12. Közművelődés'!G39</f>
        <v>0</v>
      </c>
      <c r="G68" s="20">
        <f>'5.12. Közművelődés'!H39</f>
        <v>0</v>
      </c>
      <c r="H68" s="20">
        <f>'5.12. Közművelődés'!I39</f>
        <v>0</v>
      </c>
      <c r="I68" s="20">
        <f>'5.12. Közművelődés'!J39</f>
        <v>0</v>
      </c>
      <c r="J68" s="20">
        <f>'5.12. Közművelődés'!K39</f>
        <v>0</v>
      </c>
      <c r="K68" s="20">
        <f>'5.12. Közművelődés'!L39</f>
        <v>0</v>
      </c>
      <c r="L68" s="20">
        <f>'5.12. Közművelődés'!M39</f>
        <v>0</v>
      </c>
      <c r="M68" s="14">
        <f t="shared" si="6"/>
        <v>0</v>
      </c>
      <c r="N68" s="20">
        <f>'5.12. Közművelődés'!O39</f>
        <v>0</v>
      </c>
      <c r="O68" s="20">
        <f>'5.12. Közművelődés'!P39</f>
        <v>0</v>
      </c>
      <c r="P68" s="20">
        <f>'5.12. Közművelődés'!Q39</f>
        <v>0</v>
      </c>
      <c r="Q68" s="20">
        <f>'5.12. Közművelődés'!R39</f>
        <v>0</v>
      </c>
      <c r="R68" s="20">
        <f>'5.12. Közművelődés'!S39</f>
        <v>0</v>
      </c>
      <c r="S68" s="20">
        <f>'5.12. Közművelődés'!T39</f>
        <v>0</v>
      </c>
      <c r="T68" s="20">
        <f>'5.12. Közművelődés'!U39</f>
        <v>0</v>
      </c>
      <c r="U68" s="20">
        <f>'5.12. Közművelődés'!V39</f>
        <v>0</v>
      </c>
      <c r="V68" s="32">
        <f>'5.12. Közművelődés'!AF39</f>
        <v>0</v>
      </c>
    </row>
    <row r="69" spans="1:22" s="32" customFormat="1" ht="18.75" thickBot="1">
      <c r="A69" s="353"/>
      <c r="B69" s="12" t="s">
        <v>114</v>
      </c>
      <c r="C69" s="28" t="s">
        <v>44</v>
      </c>
      <c r="D69" s="210">
        <f t="shared" si="3"/>
        <v>0</v>
      </c>
      <c r="E69" s="25">
        <f>'5.12. Közművelődés'!F40</f>
        <v>0</v>
      </c>
      <c r="F69" s="25">
        <f>'5.12. Közművelődés'!G40</f>
        <v>0</v>
      </c>
      <c r="G69" s="25">
        <f>'5.12. Közművelődés'!H40</f>
        <v>0</v>
      </c>
      <c r="H69" s="25">
        <f>'5.12. Közművelődés'!I40</f>
        <v>0</v>
      </c>
      <c r="I69" s="25">
        <f>'5.12. Közművelődés'!J40</f>
        <v>0</v>
      </c>
      <c r="J69" s="25">
        <f>'5.12. Közművelődés'!K40</f>
        <v>0</v>
      </c>
      <c r="K69" s="25">
        <f>'5.12. Közművelődés'!L40</f>
        <v>0</v>
      </c>
      <c r="L69" s="25">
        <f>'5.12. Közművelődés'!M40</f>
        <v>0</v>
      </c>
      <c r="M69" s="210">
        <f t="shared" si="6"/>
        <v>0</v>
      </c>
      <c r="N69" s="25">
        <f>'5.12. Közművelődés'!O40</f>
        <v>0</v>
      </c>
      <c r="O69" s="25">
        <f>'5.12. Közművelődés'!P40</f>
        <v>0</v>
      </c>
      <c r="P69" s="25">
        <f>'5.12. Közművelődés'!Q40</f>
        <v>0</v>
      </c>
      <c r="Q69" s="25">
        <f>'5.12. Közművelődés'!R40</f>
        <v>0</v>
      </c>
      <c r="R69" s="25">
        <f>'5.12. Közművelődés'!S40</f>
        <v>0</v>
      </c>
      <c r="S69" s="25">
        <f>'5.12. Közművelődés'!T40</f>
        <v>0</v>
      </c>
      <c r="T69" s="25">
        <f>'5.12. Közművelődés'!U40</f>
        <v>0</v>
      </c>
      <c r="U69" s="25">
        <f>'5.12. Közművelődés'!V40</f>
        <v>0</v>
      </c>
      <c r="V69" s="32">
        <f>'5.12. Közművelődés'!AF40</f>
        <v>0</v>
      </c>
    </row>
    <row r="70" spans="1:22" s="32" customFormat="1" ht="18" customHeight="1">
      <c r="A70" s="10" t="s">
        <v>115</v>
      </c>
      <c r="B70" s="352" t="s">
        <v>116</v>
      </c>
      <c r="C70" s="352"/>
      <c r="D70" s="11">
        <f t="shared" si="3"/>
        <v>3228931132</v>
      </c>
      <c r="E70" s="11">
        <f aca="true" t="shared" si="33" ref="E70:L70">SUM(E71:E73)</f>
        <v>0</v>
      </c>
      <c r="F70" s="11">
        <f t="shared" si="33"/>
        <v>0</v>
      </c>
      <c r="G70" s="11">
        <f t="shared" si="33"/>
        <v>29053644</v>
      </c>
      <c r="H70" s="11">
        <f t="shared" si="33"/>
        <v>0</v>
      </c>
      <c r="I70" s="11">
        <f t="shared" si="33"/>
        <v>3021087488</v>
      </c>
      <c r="J70" s="11">
        <f t="shared" si="33"/>
        <v>0</v>
      </c>
      <c r="K70" s="11">
        <f t="shared" si="33"/>
        <v>0</v>
      </c>
      <c r="L70" s="11">
        <f t="shared" si="33"/>
        <v>178790000</v>
      </c>
      <c r="M70" s="11">
        <f t="shared" si="6"/>
        <v>3253931132</v>
      </c>
      <c r="N70" s="11">
        <f aca="true" t="shared" si="34" ref="N70:U70">SUM(N71:N73)</f>
        <v>0</v>
      </c>
      <c r="O70" s="11">
        <f t="shared" si="34"/>
        <v>0</v>
      </c>
      <c r="P70" s="11">
        <f t="shared" si="34"/>
        <v>29053644</v>
      </c>
      <c r="Q70" s="11">
        <f t="shared" si="34"/>
        <v>0</v>
      </c>
      <c r="R70" s="11">
        <f t="shared" si="34"/>
        <v>3026087488</v>
      </c>
      <c r="S70" s="11">
        <f t="shared" si="34"/>
        <v>0</v>
      </c>
      <c r="T70" s="11">
        <f t="shared" si="34"/>
        <v>0</v>
      </c>
      <c r="U70" s="11">
        <f t="shared" si="34"/>
        <v>198790000</v>
      </c>
      <c r="V70" s="32">
        <f>SUM(V71:V73)</f>
        <v>0</v>
      </c>
    </row>
    <row r="71" spans="1:22" s="32" customFormat="1" ht="18.75" thickBot="1">
      <c r="A71" s="353"/>
      <c r="B71" s="12" t="s">
        <v>117</v>
      </c>
      <c r="C71" s="19" t="s">
        <v>40</v>
      </c>
      <c r="D71" s="14">
        <f t="shared" si="3"/>
        <v>2772790000</v>
      </c>
      <c r="E71" s="15">
        <f>'5.13. Támogatások'!F11</f>
        <v>0</v>
      </c>
      <c r="F71" s="15">
        <f>'5.13. Támogatások'!G11</f>
        <v>0</v>
      </c>
      <c r="G71" s="15">
        <f>'5.13. Támogatások'!H11</f>
        <v>0</v>
      </c>
      <c r="H71" s="15">
        <f>'5.13. Támogatások'!I11</f>
        <v>0</v>
      </c>
      <c r="I71" s="15">
        <f>'5.13. Támogatások'!J11</f>
        <v>2594000000</v>
      </c>
      <c r="J71" s="15">
        <f>'5.13. Támogatások'!K11</f>
        <v>0</v>
      </c>
      <c r="K71" s="15">
        <f>'5.13. Támogatások'!L11</f>
        <v>0</v>
      </c>
      <c r="L71" s="15">
        <f>'5.13. Támogatások'!M11</f>
        <v>178790000</v>
      </c>
      <c r="M71" s="14">
        <f t="shared" si="6"/>
        <v>2777790000</v>
      </c>
      <c r="N71" s="15">
        <f>'5.13. Támogatások'!O11</f>
        <v>0</v>
      </c>
      <c r="O71" s="15">
        <f>'5.13. Támogatások'!P11</f>
        <v>0</v>
      </c>
      <c r="P71" s="15">
        <f>'5.13. Támogatások'!Q11</f>
        <v>0</v>
      </c>
      <c r="Q71" s="15">
        <f>'5.13. Támogatások'!R11</f>
        <v>0</v>
      </c>
      <c r="R71" s="15">
        <f>'5.13. Támogatások'!S11</f>
        <v>2599000000</v>
      </c>
      <c r="S71" s="15">
        <f>'5.13. Támogatások'!T11</f>
        <v>0</v>
      </c>
      <c r="T71" s="15">
        <f>'5.13. Támogatások'!U11</f>
        <v>0</v>
      </c>
      <c r="U71" s="15">
        <f>'5.13. Támogatások'!V11</f>
        <v>178790000</v>
      </c>
      <c r="V71" s="32">
        <f>'5.13. Támogatások'!AF11</f>
        <v>0</v>
      </c>
    </row>
    <row r="72" spans="1:22" s="32" customFormat="1" ht="18.75" thickBot="1">
      <c r="A72" s="353"/>
      <c r="B72" s="12" t="s">
        <v>118</v>
      </c>
      <c r="C72" s="19" t="s">
        <v>42</v>
      </c>
      <c r="D72" s="14">
        <f t="shared" si="3"/>
        <v>456141132</v>
      </c>
      <c r="E72" s="20">
        <f>'5.13. Támogatások'!F26</f>
        <v>0</v>
      </c>
      <c r="F72" s="20">
        <f>'5.13. Támogatások'!G26</f>
        <v>0</v>
      </c>
      <c r="G72" s="20">
        <f>'5.13. Támogatások'!H26</f>
        <v>29053644</v>
      </c>
      <c r="H72" s="20">
        <f>'5.13. Támogatások'!I26</f>
        <v>0</v>
      </c>
      <c r="I72" s="20">
        <f>'5.13. Támogatások'!J26</f>
        <v>427087488</v>
      </c>
      <c r="J72" s="20">
        <f>'5.13. Támogatások'!K26</f>
        <v>0</v>
      </c>
      <c r="K72" s="20">
        <f>'5.13. Támogatások'!L26</f>
        <v>0</v>
      </c>
      <c r="L72" s="20">
        <f>'5.13. Támogatások'!M26</f>
        <v>0</v>
      </c>
      <c r="M72" s="14">
        <f t="shared" si="6"/>
        <v>476141132</v>
      </c>
      <c r="N72" s="20">
        <f>'5.13. Támogatások'!O26</f>
        <v>0</v>
      </c>
      <c r="O72" s="20">
        <f>'5.13. Támogatások'!P26</f>
        <v>0</v>
      </c>
      <c r="P72" s="20">
        <f>'5.13. Támogatások'!Q26</f>
        <v>29053644</v>
      </c>
      <c r="Q72" s="20">
        <f>'5.13. Támogatások'!R26</f>
        <v>0</v>
      </c>
      <c r="R72" s="20">
        <f>'5.13. Támogatások'!S26</f>
        <v>427087488</v>
      </c>
      <c r="S72" s="20">
        <f>'5.13. Támogatások'!T26</f>
        <v>0</v>
      </c>
      <c r="T72" s="20">
        <f>'5.13. Támogatások'!U26</f>
        <v>0</v>
      </c>
      <c r="U72" s="20">
        <f>'5.13. Támogatások'!V26</f>
        <v>20000000</v>
      </c>
      <c r="V72" s="32">
        <f>'5.13. Támogatások'!AF26</f>
        <v>0</v>
      </c>
    </row>
    <row r="73" spans="1:22" s="32" customFormat="1" ht="18.75" thickBot="1">
      <c r="A73" s="353"/>
      <c r="B73" s="12" t="s">
        <v>119</v>
      </c>
      <c r="C73" s="28" t="s">
        <v>44</v>
      </c>
      <c r="D73" s="210">
        <f t="shared" si="3"/>
        <v>0</v>
      </c>
      <c r="E73" s="25">
        <f>'5.13. Támogatások'!F54</f>
        <v>0</v>
      </c>
      <c r="F73" s="25">
        <f>'5.13. Támogatások'!G54</f>
        <v>0</v>
      </c>
      <c r="G73" s="25">
        <f>'5.13. Támogatások'!H54</f>
        <v>0</v>
      </c>
      <c r="H73" s="25">
        <f>'5.13. Támogatások'!I54</f>
        <v>0</v>
      </c>
      <c r="I73" s="25">
        <f>'5.13. Támogatások'!J54</f>
        <v>0</v>
      </c>
      <c r="J73" s="25">
        <f>'5.13. Támogatások'!K54</f>
        <v>0</v>
      </c>
      <c r="K73" s="25">
        <f>'5.13. Támogatások'!L54</f>
        <v>0</v>
      </c>
      <c r="L73" s="25">
        <f>'5.13. Támogatások'!M54</f>
        <v>0</v>
      </c>
      <c r="M73" s="210">
        <f t="shared" si="6"/>
        <v>0</v>
      </c>
      <c r="N73" s="25">
        <f>'5.13. Támogatások'!O54</f>
        <v>0</v>
      </c>
      <c r="O73" s="25">
        <f>'5.13. Támogatások'!P54</f>
        <v>0</v>
      </c>
      <c r="P73" s="25">
        <f>'5.13. Támogatások'!Q54</f>
        <v>0</v>
      </c>
      <c r="Q73" s="25">
        <f>'5.13. Támogatások'!R54</f>
        <v>0</v>
      </c>
      <c r="R73" s="25">
        <f>'5.13. Támogatások'!S54</f>
        <v>0</v>
      </c>
      <c r="S73" s="25">
        <f>'5.13. Támogatások'!T54</f>
        <v>0</v>
      </c>
      <c r="T73" s="25">
        <f>'5.13. Támogatások'!U54</f>
        <v>0</v>
      </c>
      <c r="U73" s="25">
        <f>'5.13. Támogatások'!V54</f>
        <v>0</v>
      </c>
      <c r="V73" s="32">
        <f>'5.13. Támogatások'!AF54</f>
        <v>0</v>
      </c>
    </row>
    <row r="74" spans="1:22" s="32" customFormat="1" ht="18" customHeight="1">
      <c r="A74" s="10" t="s">
        <v>120</v>
      </c>
      <c r="B74" s="352" t="s">
        <v>121</v>
      </c>
      <c r="C74" s="352"/>
      <c r="D74" s="11">
        <f t="shared" si="3"/>
        <v>81284459</v>
      </c>
      <c r="E74" s="11">
        <f aca="true" t="shared" si="35" ref="E74:L74">SUM(E75:E77)</f>
        <v>0</v>
      </c>
      <c r="F74" s="11">
        <f t="shared" si="35"/>
        <v>0</v>
      </c>
      <c r="G74" s="11">
        <f t="shared" si="35"/>
        <v>80714460</v>
      </c>
      <c r="H74" s="11">
        <f t="shared" si="35"/>
        <v>0</v>
      </c>
      <c r="I74" s="11">
        <f t="shared" si="35"/>
        <v>0</v>
      </c>
      <c r="J74" s="11">
        <f t="shared" si="35"/>
        <v>569999</v>
      </c>
      <c r="K74" s="11">
        <f t="shared" si="35"/>
        <v>0</v>
      </c>
      <c r="L74" s="11">
        <f t="shared" si="35"/>
        <v>0</v>
      </c>
      <c r="M74" s="11">
        <f t="shared" si="6"/>
        <v>81284459</v>
      </c>
      <c r="N74" s="11">
        <f aca="true" t="shared" si="36" ref="N74:U74">SUM(N75:N77)</f>
        <v>0</v>
      </c>
      <c r="O74" s="11">
        <f t="shared" si="36"/>
        <v>0</v>
      </c>
      <c r="P74" s="11">
        <f t="shared" si="36"/>
        <v>80714460</v>
      </c>
      <c r="Q74" s="11">
        <f t="shared" si="36"/>
        <v>0</v>
      </c>
      <c r="R74" s="11">
        <f t="shared" si="36"/>
        <v>0</v>
      </c>
      <c r="S74" s="11">
        <f t="shared" si="36"/>
        <v>569999</v>
      </c>
      <c r="T74" s="11">
        <f t="shared" si="36"/>
        <v>0</v>
      </c>
      <c r="U74" s="11">
        <f t="shared" si="36"/>
        <v>0</v>
      </c>
      <c r="V74" s="32">
        <f>SUM(V75:V77)</f>
        <v>0</v>
      </c>
    </row>
    <row r="75" spans="1:22" s="32" customFormat="1" ht="18.75" thickBot="1">
      <c r="A75" s="353"/>
      <c r="B75" s="12" t="s">
        <v>122</v>
      </c>
      <c r="C75" s="19" t="s">
        <v>40</v>
      </c>
      <c r="D75" s="14">
        <f t="shared" si="3"/>
        <v>81284459</v>
      </c>
      <c r="E75" s="15">
        <v>0</v>
      </c>
      <c r="F75" s="16">
        <v>0</v>
      </c>
      <c r="G75" s="16">
        <v>80714460</v>
      </c>
      <c r="H75" s="16">
        <v>0</v>
      </c>
      <c r="I75" s="16">
        <v>0</v>
      </c>
      <c r="J75" s="16">
        <v>569999</v>
      </c>
      <c r="K75" s="16">
        <v>0</v>
      </c>
      <c r="L75" s="17">
        <v>0</v>
      </c>
      <c r="M75" s="14">
        <f t="shared" si="6"/>
        <v>81284459</v>
      </c>
      <c r="N75" s="15">
        <v>0</v>
      </c>
      <c r="O75" s="16">
        <v>0</v>
      </c>
      <c r="P75" s="16">
        <v>80714460</v>
      </c>
      <c r="Q75" s="16">
        <v>0</v>
      </c>
      <c r="R75" s="16">
        <v>0</v>
      </c>
      <c r="S75" s="16">
        <v>569999</v>
      </c>
      <c r="T75" s="16">
        <v>0</v>
      </c>
      <c r="U75" s="17">
        <v>0</v>
      </c>
      <c r="V75" s="32">
        <v>0</v>
      </c>
    </row>
    <row r="76" spans="1:22" s="32" customFormat="1" ht="18.75" thickBot="1">
      <c r="A76" s="353"/>
      <c r="B76" s="12" t="s">
        <v>123</v>
      </c>
      <c r="C76" s="19" t="s">
        <v>42</v>
      </c>
      <c r="D76" s="14">
        <f aca="true" t="shared" si="37" ref="D76:D121">SUM(E76:L76)</f>
        <v>0</v>
      </c>
      <c r="E76" s="20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2">
        <v>0</v>
      </c>
      <c r="M76" s="14">
        <f t="shared" si="6"/>
        <v>0</v>
      </c>
      <c r="N76" s="20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2">
        <v>0</v>
      </c>
      <c r="V76" s="32">
        <v>0</v>
      </c>
    </row>
    <row r="77" spans="1:22" s="32" customFormat="1" ht="18.75" thickBot="1">
      <c r="A77" s="353"/>
      <c r="B77" s="12" t="s">
        <v>124</v>
      </c>
      <c r="C77" s="28" t="s">
        <v>44</v>
      </c>
      <c r="D77" s="210">
        <f t="shared" si="37"/>
        <v>0</v>
      </c>
      <c r="E77" s="25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7">
        <v>0</v>
      </c>
      <c r="M77" s="210">
        <f t="shared" si="6"/>
        <v>0</v>
      </c>
      <c r="N77" s="25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7">
        <v>0</v>
      </c>
      <c r="V77" s="32">
        <v>0</v>
      </c>
    </row>
    <row r="78" spans="1:22" s="32" customFormat="1" ht="27.75" customHeight="1">
      <c r="A78" s="10" t="s">
        <v>125</v>
      </c>
      <c r="B78" s="352" t="s">
        <v>126</v>
      </c>
      <c r="C78" s="352"/>
      <c r="D78" s="11">
        <f t="shared" si="37"/>
        <v>38550000</v>
      </c>
      <c r="E78" s="11">
        <f aca="true" t="shared" si="38" ref="E78:L78">SUM(E79:E81)</f>
        <v>0</v>
      </c>
      <c r="F78" s="11">
        <f t="shared" si="38"/>
        <v>0</v>
      </c>
      <c r="G78" s="11">
        <f t="shared" si="38"/>
        <v>0</v>
      </c>
      <c r="H78" s="11">
        <f t="shared" si="38"/>
        <v>0</v>
      </c>
      <c r="I78" s="11">
        <f t="shared" si="38"/>
        <v>38550000</v>
      </c>
      <c r="J78" s="11">
        <f t="shared" si="38"/>
        <v>0</v>
      </c>
      <c r="K78" s="11">
        <f t="shared" si="38"/>
        <v>0</v>
      </c>
      <c r="L78" s="11">
        <f t="shared" si="38"/>
        <v>0</v>
      </c>
      <c r="M78" s="11">
        <f t="shared" si="6"/>
        <v>38550000</v>
      </c>
      <c r="N78" s="11">
        <f aca="true" t="shared" si="39" ref="N78:U78">SUM(N79:N81)</f>
        <v>0</v>
      </c>
      <c r="O78" s="11">
        <f t="shared" si="39"/>
        <v>0</v>
      </c>
      <c r="P78" s="11">
        <f t="shared" si="39"/>
        <v>0</v>
      </c>
      <c r="Q78" s="11">
        <f t="shared" si="39"/>
        <v>0</v>
      </c>
      <c r="R78" s="11">
        <f t="shared" si="39"/>
        <v>38550000</v>
      </c>
      <c r="S78" s="11">
        <f t="shared" si="39"/>
        <v>0</v>
      </c>
      <c r="T78" s="11">
        <f t="shared" si="39"/>
        <v>0</v>
      </c>
      <c r="U78" s="11">
        <f t="shared" si="39"/>
        <v>0</v>
      </c>
      <c r="V78" s="32">
        <f>SUM(V79:V81)</f>
        <v>0</v>
      </c>
    </row>
    <row r="79" spans="1:22" s="32" customFormat="1" ht="18.75" thickBot="1">
      <c r="A79" s="353"/>
      <c r="B79" s="12" t="s">
        <v>127</v>
      </c>
      <c r="C79" s="19" t="s">
        <v>40</v>
      </c>
      <c r="D79" s="14">
        <f t="shared" si="37"/>
        <v>38550000</v>
      </c>
      <c r="E79" s="15">
        <v>0</v>
      </c>
      <c r="F79" s="16">
        <v>0</v>
      </c>
      <c r="G79" s="16">
        <v>0</v>
      </c>
      <c r="H79" s="16">
        <v>0</v>
      </c>
      <c r="I79" s="16">
        <f>31350000+200000+2000000+5000000</f>
        <v>38550000</v>
      </c>
      <c r="J79" s="16">
        <v>0</v>
      </c>
      <c r="K79" s="16">
        <v>0</v>
      </c>
      <c r="L79" s="17">
        <v>0</v>
      </c>
      <c r="M79" s="14">
        <f t="shared" si="6"/>
        <v>38550000</v>
      </c>
      <c r="N79" s="15">
        <v>0</v>
      </c>
      <c r="O79" s="16">
        <v>0</v>
      </c>
      <c r="P79" s="16">
        <v>0</v>
      </c>
      <c r="Q79" s="16">
        <v>0</v>
      </c>
      <c r="R79" s="16">
        <f>31350000+200000+2000000+5000000</f>
        <v>38550000</v>
      </c>
      <c r="S79" s="16">
        <v>0</v>
      </c>
      <c r="T79" s="16">
        <v>0</v>
      </c>
      <c r="U79" s="17">
        <v>0</v>
      </c>
      <c r="V79" s="32">
        <v>0</v>
      </c>
    </row>
    <row r="80" spans="1:22" s="32" customFormat="1" ht="18.75" thickBot="1">
      <c r="A80" s="353"/>
      <c r="B80" s="12" t="s">
        <v>128</v>
      </c>
      <c r="C80" s="19" t="s">
        <v>42</v>
      </c>
      <c r="D80" s="14">
        <f t="shared" si="37"/>
        <v>0</v>
      </c>
      <c r="E80" s="20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2">
        <v>0</v>
      </c>
      <c r="M80" s="14">
        <f aca="true" t="shared" si="40" ref="M80:M117">SUM(N80:U80)</f>
        <v>0</v>
      </c>
      <c r="N80" s="20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2">
        <v>0</v>
      </c>
      <c r="V80" s="32">
        <v>0</v>
      </c>
    </row>
    <row r="81" spans="1:22" s="32" customFormat="1" ht="18.75" thickBot="1">
      <c r="A81" s="353"/>
      <c r="B81" s="12" t="s">
        <v>129</v>
      </c>
      <c r="C81" s="28" t="s">
        <v>44</v>
      </c>
      <c r="D81" s="210">
        <f t="shared" si="37"/>
        <v>0</v>
      </c>
      <c r="E81" s="25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7">
        <v>0</v>
      </c>
      <c r="M81" s="210">
        <f t="shared" si="40"/>
        <v>0</v>
      </c>
      <c r="N81" s="25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7">
        <v>0</v>
      </c>
      <c r="V81" s="32">
        <v>0</v>
      </c>
    </row>
    <row r="82" spans="1:22" s="32" customFormat="1" ht="18" customHeight="1">
      <c r="A82" s="10" t="s">
        <v>130</v>
      </c>
      <c r="B82" s="352" t="s">
        <v>131</v>
      </c>
      <c r="C82" s="352"/>
      <c r="D82" s="11">
        <f t="shared" si="37"/>
        <v>55422867</v>
      </c>
      <c r="E82" s="11">
        <f aca="true" t="shared" si="41" ref="E82:L82">SUM(E83:E85)</f>
        <v>7284351</v>
      </c>
      <c r="F82" s="11">
        <f t="shared" si="41"/>
        <v>2644630</v>
      </c>
      <c r="G82" s="11">
        <f t="shared" si="41"/>
        <v>28491728</v>
      </c>
      <c r="H82" s="11">
        <f t="shared" si="41"/>
        <v>0</v>
      </c>
      <c r="I82" s="11">
        <f t="shared" si="41"/>
        <v>0</v>
      </c>
      <c r="J82" s="11">
        <f t="shared" si="41"/>
        <v>17002158</v>
      </c>
      <c r="K82" s="11">
        <f t="shared" si="41"/>
        <v>0</v>
      </c>
      <c r="L82" s="11">
        <f t="shared" si="41"/>
        <v>0</v>
      </c>
      <c r="M82" s="11">
        <f t="shared" si="40"/>
        <v>55422867</v>
      </c>
      <c r="N82" s="11">
        <f aca="true" t="shared" si="42" ref="N82:U82">SUM(N83:N85)</f>
        <v>7284351</v>
      </c>
      <c r="O82" s="11">
        <f t="shared" si="42"/>
        <v>2644630</v>
      </c>
      <c r="P82" s="11">
        <f t="shared" si="42"/>
        <v>28491728</v>
      </c>
      <c r="Q82" s="11">
        <f t="shared" si="42"/>
        <v>0</v>
      </c>
      <c r="R82" s="11">
        <f t="shared" si="42"/>
        <v>0</v>
      </c>
      <c r="S82" s="11">
        <f t="shared" si="42"/>
        <v>17002158</v>
      </c>
      <c r="T82" s="11">
        <f t="shared" si="42"/>
        <v>0</v>
      </c>
      <c r="U82" s="11">
        <f t="shared" si="42"/>
        <v>0</v>
      </c>
      <c r="V82" s="32">
        <f>SUM(V83:V85)</f>
        <v>0</v>
      </c>
    </row>
    <row r="83" spans="1:22" s="32" customFormat="1" ht="18.75" thickBot="1">
      <c r="A83" s="353"/>
      <c r="B83" s="12" t="s">
        <v>132</v>
      </c>
      <c r="C83" s="19" t="s">
        <v>40</v>
      </c>
      <c r="D83" s="14">
        <f t="shared" si="37"/>
        <v>55422867</v>
      </c>
      <c r="E83" s="15">
        <v>7284351</v>
      </c>
      <c r="F83" s="16">
        <v>2644630</v>
      </c>
      <c r="G83" s="16">
        <v>28491728</v>
      </c>
      <c r="H83" s="16">
        <v>0</v>
      </c>
      <c r="I83" s="16">
        <v>0</v>
      </c>
      <c r="J83" s="16">
        <f>67802158-50800000</f>
        <v>17002158</v>
      </c>
      <c r="K83" s="16">
        <v>0</v>
      </c>
      <c r="L83" s="29">
        <v>0</v>
      </c>
      <c r="M83" s="14">
        <f t="shared" si="40"/>
        <v>55422867</v>
      </c>
      <c r="N83" s="15">
        <v>7284351</v>
      </c>
      <c r="O83" s="16">
        <v>2644630</v>
      </c>
      <c r="P83" s="16">
        <v>28491728</v>
      </c>
      <c r="Q83" s="16">
        <v>0</v>
      </c>
      <c r="R83" s="16">
        <v>0</v>
      </c>
      <c r="S83" s="16">
        <f>67802158-50800000</f>
        <v>17002158</v>
      </c>
      <c r="T83" s="16">
        <v>0</v>
      </c>
      <c r="U83" s="29">
        <v>0</v>
      </c>
      <c r="V83" s="32">
        <v>0</v>
      </c>
    </row>
    <row r="84" spans="1:22" s="32" customFormat="1" ht="18.75" thickBot="1">
      <c r="A84" s="353"/>
      <c r="B84" s="12" t="s">
        <v>133</v>
      </c>
      <c r="C84" s="19" t="s">
        <v>42</v>
      </c>
      <c r="D84" s="14">
        <f t="shared" si="37"/>
        <v>0</v>
      </c>
      <c r="E84" s="20">
        <v>0</v>
      </c>
      <c r="F84" s="21">
        <v>0</v>
      </c>
      <c r="G84" s="21">
        <f>'5.19. Céltartalék'!G30</f>
        <v>0</v>
      </c>
      <c r="H84" s="21">
        <v>0</v>
      </c>
      <c r="I84" s="21">
        <v>0</v>
      </c>
      <c r="J84" s="21">
        <v>0</v>
      </c>
      <c r="K84" s="21">
        <v>0</v>
      </c>
      <c r="L84" s="30">
        <v>0</v>
      </c>
      <c r="M84" s="14">
        <f t="shared" si="40"/>
        <v>0</v>
      </c>
      <c r="N84" s="20">
        <v>0</v>
      </c>
      <c r="O84" s="21">
        <v>0</v>
      </c>
      <c r="P84" s="21">
        <f>'5.19. Céltartalék'!P30</f>
        <v>0</v>
      </c>
      <c r="Q84" s="21">
        <v>0</v>
      </c>
      <c r="R84" s="21">
        <v>0</v>
      </c>
      <c r="S84" s="21">
        <v>0</v>
      </c>
      <c r="T84" s="21">
        <v>0</v>
      </c>
      <c r="U84" s="30">
        <v>0</v>
      </c>
      <c r="V84" s="32">
        <v>0</v>
      </c>
    </row>
    <row r="85" spans="1:22" s="32" customFormat="1" ht="18.75" thickBot="1">
      <c r="A85" s="353"/>
      <c r="B85" s="12" t="s">
        <v>134</v>
      </c>
      <c r="C85" s="13" t="s">
        <v>44</v>
      </c>
      <c r="D85" s="210">
        <f t="shared" si="37"/>
        <v>0</v>
      </c>
      <c r="E85" s="25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31">
        <v>0</v>
      </c>
      <c r="M85" s="210">
        <f t="shared" si="40"/>
        <v>0</v>
      </c>
      <c r="N85" s="25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31">
        <v>0</v>
      </c>
      <c r="V85" s="32">
        <v>0</v>
      </c>
    </row>
    <row r="86" spans="1:22" s="32" customFormat="1" ht="18" customHeight="1">
      <c r="A86" s="10" t="s">
        <v>135</v>
      </c>
      <c r="B86" s="352" t="s">
        <v>136</v>
      </c>
      <c r="C86" s="352"/>
      <c r="D86" s="11">
        <f t="shared" si="37"/>
        <v>450000000</v>
      </c>
      <c r="E86" s="11">
        <f aca="true" t="shared" si="43" ref="E86:L86">SUM(E87:E89)</f>
        <v>0</v>
      </c>
      <c r="F86" s="11">
        <f t="shared" si="43"/>
        <v>0</v>
      </c>
      <c r="G86" s="11">
        <f t="shared" si="43"/>
        <v>0</v>
      </c>
      <c r="H86" s="11">
        <f t="shared" si="43"/>
        <v>0</v>
      </c>
      <c r="I86" s="11">
        <f t="shared" si="43"/>
        <v>0</v>
      </c>
      <c r="J86" s="11">
        <f t="shared" si="43"/>
        <v>0</v>
      </c>
      <c r="K86" s="11">
        <f t="shared" si="43"/>
        <v>0</v>
      </c>
      <c r="L86" s="11">
        <f t="shared" si="43"/>
        <v>450000000</v>
      </c>
      <c r="M86" s="11">
        <f t="shared" si="40"/>
        <v>450000000</v>
      </c>
      <c r="N86" s="11">
        <f aca="true" t="shared" si="44" ref="N86:U86">SUM(N87:N89)</f>
        <v>0</v>
      </c>
      <c r="O86" s="11">
        <f t="shared" si="44"/>
        <v>0</v>
      </c>
      <c r="P86" s="11">
        <f t="shared" si="44"/>
        <v>0</v>
      </c>
      <c r="Q86" s="11">
        <f t="shared" si="44"/>
        <v>0</v>
      </c>
      <c r="R86" s="11">
        <f t="shared" si="44"/>
        <v>0</v>
      </c>
      <c r="S86" s="11">
        <f t="shared" si="44"/>
        <v>0</v>
      </c>
      <c r="T86" s="11">
        <f t="shared" si="44"/>
        <v>0</v>
      </c>
      <c r="U86" s="11">
        <f t="shared" si="44"/>
        <v>450000000</v>
      </c>
      <c r="V86" s="32">
        <f>SUM(V87:V89)</f>
        <v>450000000</v>
      </c>
    </row>
    <row r="87" spans="1:22" s="32" customFormat="1" ht="18.75" thickBot="1">
      <c r="A87" s="353"/>
      <c r="B87" s="12" t="s">
        <v>137</v>
      </c>
      <c r="C87" s="19" t="s">
        <v>40</v>
      </c>
      <c r="D87" s="14">
        <f t="shared" si="37"/>
        <v>450000000</v>
      </c>
      <c r="E87" s="15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29">
        <v>450000000</v>
      </c>
      <c r="M87" s="14">
        <f t="shared" si="40"/>
        <v>450000000</v>
      </c>
      <c r="N87" s="15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29">
        <v>450000000</v>
      </c>
      <c r="V87" s="32">
        <v>450000000</v>
      </c>
    </row>
    <row r="88" spans="1:22" s="32" customFormat="1" ht="18.75" thickBot="1">
      <c r="A88" s="353"/>
      <c r="B88" s="12" t="s">
        <v>138</v>
      </c>
      <c r="C88" s="19" t="s">
        <v>42</v>
      </c>
      <c r="D88" s="14">
        <f t="shared" si="37"/>
        <v>0</v>
      </c>
      <c r="E88" s="20">
        <v>0</v>
      </c>
      <c r="F88" s="21">
        <v>0</v>
      </c>
      <c r="G88" s="21">
        <f>'5.19. Céltartalék'!G34</f>
        <v>0</v>
      </c>
      <c r="H88" s="21">
        <v>0</v>
      </c>
      <c r="I88" s="21">
        <v>0</v>
      </c>
      <c r="J88" s="21">
        <v>0</v>
      </c>
      <c r="K88" s="21">
        <v>0</v>
      </c>
      <c r="L88" s="30">
        <v>0</v>
      </c>
      <c r="M88" s="14">
        <f t="shared" si="40"/>
        <v>0</v>
      </c>
      <c r="N88" s="20">
        <v>0</v>
      </c>
      <c r="O88" s="21">
        <v>0</v>
      </c>
      <c r="P88" s="21">
        <f>'5.19. Céltartalék'!P34</f>
        <v>0</v>
      </c>
      <c r="Q88" s="21">
        <v>0</v>
      </c>
      <c r="R88" s="21">
        <v>0</v>
      </c>
      <c r="S88" s="21">
        <v>0</v>
      </c>
      <c r="T88" s="21">
        <v>0</v>
      </c>
      <c r="U88" s="30">
        <v>0</v>
      </c>
      <c r="V88" s="32">
        <v>0</v>
      </c>
    </row>
    <row r="89" spans="1:22" s="32" customFormat="1" ht="18.75" thickBot="1">
      <c r="A89" s="353"/>
      <c r="B89" s="12" t="s">
        <v>139</v>
      </c>
      <c r="C89" s="13" t="s">
        <v>44</v>
      </c>
      <c r="D89" s="210">
        <f t="shared" si="37"/>
        <v>0</v>
      </c>
      <c r="E89" s="25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31">
        <v>0</v>
      </c>
      <c r="M89" s="210">
        <f t="shared" si="40"/>
        <v>0</v>
      </c>
      <c r="N89" s="25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31">
        <v>0</v>
      </c>
      <c r="V89" s="32">
        <v>0</v>
      </c>
    </row>
    <row r="90" spans="1:22" s="32" customFormat="1" ht="18" customHeight="1">
      <c r="A90" s="10" t="s">
        <v>140</v>
      </c>
      <c r="B90" s="352" t="s">
        <v>141</v>
      </c>
      <c r="C90" s="352"/>
      <c r="D90" s="11">
        <f t="shared" si="37"/>
        <v>13581607062</v>
      </c>
      <c r="E90" s="11">
        <f aca="true" t="shared" si="45" ref="E90:L90">SUM(E91:E93)</f>
        <v>27089247</v>
      </c>
      <c r="F90" s="11">
        <f t="shared" si="45"/>
        <v>6834941</v>
      </c>
      <c r="G90" s="11">
        <f t="shared" si="45"/>
        <v>1737129080</v>
      </c>
      <c r="H90" s="11">
        <f t="shared" si="45"/>
        <v>0</v>
      </c>
      <c r="I90" s="11">
        <f t="shared" si="45"/>
        <v>869777300</v>
      </c>
      <c r="J90" s="11">
        <f t="shared" si="45"/>
        <v>10940776494</v>
      </c>
      <c r="K90" s="11">
        <f t="shared" si="45"/>
        <v>0</v>
      </c>
      <c r="L90" s="11">
        <f t="shared" si="45"/>
        <v>0</v>
      </c>
      <c r="M90" s="11">
        <f t="shared" si="40"/>
        <v>13581607062</v>
      </c>
      <c r="N90" s="11">
        <f aca="true" t="shared" si="46" ref="N90:U90">SUM(N91:N93)</f>
        <v>27089247</v>
      </c>
      <c r="O90" s="11">
        <f t="shared" si="46"/>
        <v>6834941</v>
      </c>
      <c r="P90" s="11">
        <f t="shared" si="46"/>
        <v>1737129080</v>
      </c>
      <c r="Q90" s="11">
        <f t="shared" si="46"/>
        <v>0</v>
      </c>
      <c r="R90" s="11">
        <f t="shared" si="46"/>
        <v>869777300</v>
      </c>
      <c r="S90" s="11">
        <f t="shared" si="46"/>
        <v>10940776494</v>
      </c>
      <c r="T90" s="11">
        <f t="shared" si="46"/>
        <v>0</v>
      </c>
      <c r="U90" s="11">
        <f t="shared" si="46"/>
        <v>0</v>
      </c>
      <c r="V90" s="32">
        <f>SUM(V91:V93)</f>
        <v>0</v>
      </c>
    </row>
    <row r="91" spans="1:22" s="32" customFormat="1" ht="18.75" thickBot="1">
      <c r="A91" s="353"/>
      <c r="B91" s="12" t="s">
        <v>142</v>
      </c>
      <c r="C91" s="19" t="s">
        <v>40</v>
      </c>
      <c r="D91" s="14">
        <f t="shared" si="37"/>
        <v>13565607062</v>
      </c>
      <c r="E91" s="15">
        <f>'5.14. Egyéb kiadások'!E10</f>
        <v>27089247</v>
      </c>
      <c r="F91" s="15">
        <f>'5.14. Egyéb kiadások'!F10</f>
        <v>6834941</v>
      </c>
      <c r="G91" s="15">
        <f>'5.14. Egyéb kiadások'!G10</f>
        <v>1721129080</v>
      </c>
      <c r="H91" s="15">
        <f>'5.14. Egyéb kiadások'!H10</f>
        <v>0</v>
      </c>
      <c r="I91" s="15">
        <f>'5.14. Egyéb kiadások'!I10</f>
        <v>869777300</v>
      </c>
      <c r="J91" s="15">
        <f>'5.14. Egyéb kiadások'!J10</f>
        <v>10940776494</v>
      </c>
      <c r="K91" s="15">
        <f>'5.14. Egyéb kiadások'!K10</f>
        <v>0</v>
      </c>
      <c r="L91" s="15">
        <f>'5.14. Egyéb kiadások'!L10</f>
        <v>0</v>
      </c>
      <c r="M91" s="14">
        <f t="shared" si="40"/>
        <v>13565607062</v>
      </c>
      <c r="N91" s="15">
        <f>'5.14. Egyéb kiadások'!N10</f>
        <v>27089247</v>
      </c>
      <c r="O91" s="15">
        <f>'5.14. Egyéb kiadások'!O10</f>
        <v>6834941</v>
      </c>
      <c r="P91" s="15">
        <f>'5.14. Egyéb kiadások'!P10</f>
        <v>1721129080</v>
      </c>
      <c r="Q91" s="15">
        <f>'5.14. Egyéb kiadások'!Q10</f>
        <v>0</v>
      </c>
      <c r="R91" s="15">
        <f>'5.14. Egyéb kiadások'!R10</f>
        <v>869777300</v>
      </c>
      <c r="S91" s="15">
        <f>'5.14. Egyéb kiadások'!S10</f>
        <v>10940776494</v>
      </c>
      <c r="T91" s="15">
        <f>'5.14. Egyéb kiadások'!T10</f>
        <v>0</v>
      </c>
      <c r="U91" s="15">
        <f>'5.14. Egyéb kiadások'!U10</f>
        <v>0</v>
      </c>
      <c r="V91" s="32">
        <f>'5.14. Egyéb kiadások'!AE10</f>
        <v>0</v>
      </c>
    </row>
    <row r="92" spans="1:22" s="32" customFormat="1" ht="18.75" thickBot="1">
      <c r="A92" s="353"/>
      <c r="B92" s="12" t="s">
        <v>143</v>
      </c>
      <c r="C92" s="19" t="s">
        <v>42</v>
      </c>
      <c r="D92" s="14">
        <f t="shared" si="37"/>
        <v>0</v>
      </c>
      <c r="E92" s="20">
        <f>'5.14. Egyéb kiadások'!E35</f>
        <v>0</v>
      </c>
      <c r="F92" s="20">
        <f>'5.14. Egyéb kiadások'!F35</f>
        <v>0</v>
      </c>
      <c r="G92" s="20">
        <f>'5.14. Egyéb kiadások'!G35</f>
        <v>0</v>
      </c>
      <c r="H92" s="20">
        <f>'5.14. Egyéb kiadások'!H35</f>
        <v>0</v>
      </c>
      <c r="I92" s="20">
        <f>'5.14. Egyéb kiadások'!I35</f>
        <v>0</v>
      </c>
      <c r="J92" s="20">
        <f>'5.14. Egyéb kiadások'!J35</f>
        <v>0</v>
      </c>
      <c r="K92" s="20">
        <f>'5.14. Egyéb kiadások'!K35</f>
        <v>0</v>
      </c>
      <c r="L92" s="20">
        <f>'5.14. Egyéb kiadások'!L35</f>
        <v>0</v>
      </c>
      <c r="M92" s="14">
        <f t="shared" si="40"/>
        <v>0</v>
      </c>
      <c r="N92" s="20">
        <f>'5.14. Egyéb kiadások'!N35</f>
        <v>0</v>
      </c>
      <c r="O92" s="20">
        <f>'5.14. Egyéb kiadások'!O35</f>
        <v>0</v>
      </c>
      <c r="P92" s="20">
        <f>'5.14. Egyéb kiadások'!P35</f>
        <v>0</v>
      </c>
      <c r="Q92" s="20">
        <f>'5.14. Egyéb kiadások'!Q35</f>
        <v>0</v>
      </c>
      <c r="R92" s="20">
        <f>'5.14. Egyéb kiadások'!R35</f>
        <v>0</v>
      </c>
      <c r="S92" s="20">
        <f>'5.14. Egyéb kiadások'!S35</f>
        <v>0</v>
      </c>
      <c r="T92" s="20">
        <f>'5.14. Egyéb kiadások'!T35</f>
        <v>0</v>
      </c>
      <c r="U92" s="20">
        <f>'5.14. Egyéb kiadások'!U35</f>
        <v>0</v>
      </c>
      <c r="V92" s="32">
        <f>'5.14. Egyéb kiadások'!AE35</f>
        <v>0</v>
      </c>
    </row>
    <row r="93" spans="1:22" s="32" customFormat="1" ht="18.75" thickBot="1">
      <c r="A93" s="353"/>
      <c r="B93" s="12" t="s">
        <v>144</v>
      </c>
      <c r="C93" s="28" t="s">
        <v>44</v>
      </c>
      <c r="D93" s="210">
        <f t="shared" si="37"/>
        <v>16000000</v>
      </c>
      <c r="E93" s="25">
        <f>'5.14. Egyéb kiadások'!E36</f>
        <v>0</v>
      </c>
      <c r="F93" s="25">
        <f>'5.14. Egyéb kiadások'!F36</f>
        <v>0</v>
      </c>
      <c r="G93" s="25">
        <f>'5.14. Egyéb kiadások'!G36</f>
        <v>16000000</v>
      </c>
      <c r="H93" s="25">
        <f>'5.14. Egyéb kiadások'!H36</f>
        <v>0</v>
      </c>
      <c r="I93" s="25">
        <f>'5.14. Egyéb kiadások'!I36</f>
        <v>0</v>
      </c>
      <c r="J93" s="25">
        <f>'5.14. Egyéb kiadások'!J36</f>
        <v>0</v>
      </c>
      <c r="K93" s="25">
        <f>'5.14. Egyéb kiadások'!K36</f>
        <v>0</v>
      </c>
      <c r="L93" s="25">
        <f>'5.14. Egyéb kiadások'!L36</f>
        <v>0</v>
      </c>
      <c r="M93" s="210">
        <f t="shared" si="40"/>
        <v>16000000</v>
      </c>
      <c r="N93" s="25">
        <f>'5.14. Egyéb kiadások'!N36</f>
        <v>0</v>
      </c>
      <c r="O93" s="25">
        <f>'5.14. Egyéb kiadások'!O36</f>
        <v>0</v>
      </c>
      <c r="P93" s="25">
        <f>'5.14. Egyéb kiadások'!P36</f>
        <v>16000000</v>
      </c>
      <c r="Q93" s="25">
        <f>'5.14. Egyéb kiadások'!Q36</f>
        <v>0</v>
      </c>
      <c r="R93" s="25">
        <f>'5.14. Egyéb kiadások'!R36</f>
        <v>0</v>
      </c>
      <c r="S93" s="25">
        <f>'5.14. Egyéb kiadások'!S36</f>
        <v>0</v>
      </c>
      <c r="T93" s="25">
        <f>'5.14. Egyéb kiadások'!T36</f>
        <v>0</v>
      </c>
      <c r="U93" s="25">
        <f>'5.14. Egyéb kiadások'!U36</f>
        <v>0</v>
      </c>
      <c r="V93" s="32">
        <f>'5.14. Egyéb kiadások'!AE36</f>
        <v>0</v>
      </c>
    </row>
    <row r="94" spans="1:22" s="32" customFormat="1" ht="18" customHeight="1">
      <c r="A94" s="10" t="s">
        <v>145</v>
      </c>
      <c r="B94" s="352" t="s">
        <v>146</v>
      </c>
      <c r="C94" s="352"/>
      <c r="D94" s="11">
        <f t="shared" si="37"/>
        <v>325211471</v>
      </c>
      <c r="E94" s="11">
        <f aca="true" t="shared" si="47" ref="E94:L94">SUM(E95:E97)</f>
        <v>36069444</v>
      </c>
      <c r="F94" s="11">
        <f t="shared" si="47"/>
        <v>21244697</v>
      </c>
      <c r="G94" s="11">
        <f t="shared" si="47"/>
        <v>238847330</v>
      </c>
      <c r="H94" s="11">
        <f t="shared" si="47"/>
        <v>0</v>
      </c>
      <c r="I94" s="11">
        <f t="shared" si="47"/>
        <v>2000000</v>
      </c>
      <c r="J94" s="11">
        <f t="shared" si="47"/>
        <v>27050000</v>
      </c>
      <c r="K94" s="11">
        <f t="shared" si="47"/>
        <v>0</v>
      </c>
      <c r="L94" s="11">
        <f t="shared" si="47"/>
        <v>0</v>
      </c>
      <c r="M94" s="11">
        <f t="shared" si="40"/>
        <v>325211471</v>
      </c>
      <c r="N94" s="11">
        <f aca="true" t="shared" si="48" ref="N94:U94">SUM(N95:N97)</f>
        <v>36069444</v>
      </c>
      <c r="O94" s="11">
        <f t="shared" si="48"/>
        <v>21244697</v>
      </c>
      <c r="P94" s="11">
        <f t="shared" si="48"/>
        <v>238847330</v>
      </c>
      <c r="Q94" s="11">
        <f t="shared" si="48"/>
        <v>0</v>
      </c>
      <c r="R94" s="11">
        <f t="shared" si="48"/>
        <v>2000000</v>
      </c>
      <c r="S94" s="11">
        <f t="shared" si="48"/>
        <v>27050000</v>
      </c>
      <c r="T94" s="11">
        <f t="shared" si="48"/>
        <v>0</v>
      </c>
      <c r="U94" s="11">
        <f t="shared" si="48"/>
        <v>0</v>
      </c>
      <c r="V94" s="32">
        <f>SUM(V95:V97)</f>
        <v>0</v>
      </c>
    </row>
    <row r="95" spans="1:22" s="32" customFormat="1" ht="18.75" thickBot="1">
      <c r="A95" s="353"/>
      <c r="B95" s="12" t="s">
        <v>147</v>
      </c>
      <c r="C95" s="19" t="s">
        <v>40</v>
      </c>
      <c r="D95" s="14">
        <f t="shared" si="37"/>
        <v>0</v>
      </c>
      <c r="E95" s="15">
        <f>'5.15. Városmarketing'!E10</f>
        <v>0</v>
      </c>
      <c r="F95" s="15">
        <f>'5.15. Városmarketing'!F10</f>
        <v>0</v>
      </c>
      <c r="G95" s="15">
        <f>'5.15. Városmarketing'!G10</f>
        <v>0</v>
      </c>
      <c r="H95" s="15">
        <f>'5.15. Városmarketing'!H10</f>
        <v>0</v>
      </c>
      <c r="I95" s="15">
        <f>'5.15. Városmarketing'!I10</f>
        <v>0</v>
      </c>
      <c r="J95" s="15">
        <f>'5.15. Városmarketing'!J10</f>
        <v>0</v>
      </c>
      <c r="K95" s="15">
        <f>'5.15. Városmarketing'!K10</f>
        <v>0</v>
      </c>
      <c r="L95" s="15">
        <f>'5.15. Városmarketing'!L10</f>
        <v>0</v>
      </c>
      <c r="M95" s="14">
        <f t="shared" si="40"/>
        <v>0</v>
      </c>
      <c r="N95" s="15">
        <f>'5.15. Városmarketing'!N10</f>
        <v>0</v>
      </c>
      <c r="O95" s="15">
        <f>'5.15. Városmarketing'!O10</f>
        <v>0</v>
      </c>
      <c r="P95" s="15">
        <f>'5.15. Városmarketing'!P10</f>
        <v>0</v>
      </c>
      <c r="Q95" s="15">
        <f>'5.15. Városmarketing'!Q10</f>
        <v>0</v>
      </c>
      <c r="R95" s="15">
        <f>'5.15. Városmarketing'!R10</f>
        <v>0</v>
      </c>
      <c r="S95" s="15">
        <f>'5.15. Városmarketing'!S10</f>
        <v>0</v>
      </c>
      <c r="T95" s="15">
        <f>'5.15. Városmarketing'!T10</f>
        <v>0</v>
      </c>
      <c r="U95" s="15">
        <f>'5.15. Városmarketing'!U10</f>
        <v>0</v>
      </c>
      <c r="V95" s="32">
        <f>'5.15. Városmarketing'!AE10</f>
        <v>0</v>
      </c>
    </row>
    <row r="96" spans="1:22" s="32" customFormat="1" ht="18.75" thickBot="1">
      <c r="A96" s="353"/>
      <c r="B96" s="12" t="s">
        <v>148</v>
      </c>
      <c r="C96" s="19" t="s">
        <v>42</v>
      </c>
      <c r="D96" s="14">
        <f t="shared" si="37"/>
        <v>325211471</v>
      </c>
      <c r="E96" s="20">
        <f>'5.15. Városmarketing'!E11</f>
        <v>36069444</v>
      </c>
      <c r="F96" s="20">
        <f>'5.15. Városmarketing'!F11</f>
        <v>21244697</v>
      </c>
      <c r="G96" s="20">
        <f>'5.15. Városmarketing'!G11</f>
        <v>238847330</v>
      </c>
      <c r="H96" s="20">
        <f>'5.15. Városmarketing'!H11</f>
        <v>0</v>
      </c>
      <c r="I96" s="20">
        <f>'5.15. Városmarketing'!I11</f>
        <v>2000000</v>
      </c>
      <c r="J96" s="20">
        <f>'5.15. Városmarketing'!J11</f>
        <v>27050000</v>
      </c>
      <c r="K96" s="20">
        <f>'5.15. Városmarketing'!K11</f>
        <v>0</v>
      </c>
      <c r="L96" s="20">
        <f>'5.15. Városmarketing'!L11</f>
        <v>0</v>
      </c>
      <c r="M96" s="14">
        <f t="shared" si="40"/>
        <v>325211471</v>
      </c>
      <c r="N96" s="20">
        <f>'5.15. Városmarketing'!N11</f>
        <v>36069444</v>
      </c>
      <c r="O96" s="20">
        <f>'5.15. Városmarketing'!O11</f>
        <v>21244697</v>
      </c>
      <c r="P96" s="20">
        <f>'5.15. Városmarketing'!P11</f>
        <v>238847330</v>
      </c>
      <c r="Q96" s="20">
        <f>'5.15. Városmarketing'!Q11</f>
        <v>0</v>
      </c>
      <c r="R96" s="20">
        <f>'5.15. Városmarketing'!R11</f>
        <v>2000000</v>
      </c>
      <c r="S96" s="20">
        <f>'5.15. Városmarketing'!S11</f>
        <v>27050000</v>
      </c>
      <c r="T96" s="20">
        <f>'5.15. Városmarketing'!T11</f>
        <v>0</v>
      </c>
      <c r="U96" s="20">
        <f>'5.15. Városmarketing'!U11</f>
        <v>0</v>
      </c>
      <c r="V96" s="32">
        <f>'5.15. Városmarketing'!AE11</f>
        <v>0</v>
      </c>
    </row>
    <row r="97" spans="1:22" s="32" customFormat="1" ht="18.75" thickBot="1">
      <c r="A97" s="353"/>
      <c r="B97" s="12" t="s">
        <v>149</v>
      </c>
      <c r="C97" s="28" t="s">
        <v>44</v>
      </c>
      <c r="D97" s="210">
        <f t="shared" si="37"/>
        <v>0</v>
      </c>
      <c r="E97" s="25">
        <f>'5.15. Városmarketing'!E23</f>
        <v>0</v>
      </c>
      <c r="F97" s="25">
        <f>'5.15. Városmarketing'!F23</f>
        <v>0</v>
      </c>
      <c r="G97" s="25">
        <f>'5.15. Városmarketing'!G23</f>
        <v>0</v>
      </c>
      <c r="H97" s="25">
        <f>'5.15. Városmarketing'!H23</f>
        <v>0</v>
      </c>
      <c r="I97" s="25">
        <f>'5.15. Városmarketing'!I23</f>
        <v>0</v>
      </c>
      <c r="J97" s="25">
        <f>'5.15. Városmarketing'!J23</f>
        <v>0</v>
      </c>
      <c r="K97" s="25">
        <f>'5.15. Városmarketing'!K23</f>
        <v>0</v>
      </c>
      <c r="L97" s="25">
        <f>'5.15. Városmarketing'!L23</f>
        <v>0</v>
      </c>
      <c r="M97" s="210">
        <f t="shared" si="40"/>
        <v>0</v>
      </c>
      <c r="N97" s="25">
        <f>'5.15. Városmarketing'!N23</f>
        <v>0</v>
      </c>
      <c r="O97" s="25">
        <f>'5.15. Városmarketing'!O23</f>
        <v>0</v>
      </c>
      <c r="P97" s="25">
        <f>'5.15. Városmarketing'!P23</f>
        <v>0</v>
      </c>
      <c r="Q97" s="25">
        <f>'5.15. Városmarketing'!Q23</f>
        <v>0</v>
      </c>
      <c r="R97" s="25">
        <f>'5.15. Városmarketing'!R23</f>
        <v>0</v>
      </c>
      <c r="S97" s="25">
        <f>'5.15. Városmarketing'!S23</f>
        <v>0</v>
      </c>
      <c r="T97" s="25">
        <f>'5.15. Városmarketing'!T23</f>
        <v>0</v>
      </c>
      <c r="U97" s="25">
        <f>'5.15. Városmarketing'!U23</f>
        <v>0</v>
      </c>
      <c r="V97" s="32">
        <f>'5.15. Városmarketing'!AE23</f>
        <v>0</v>
      </c>
    </row>
    <row r="98" spans="1:22" s="32" customFormat="1" ht="18" customHeight="1">
      <c r="A98" s="10" t="s">
        <v>150</v>
      </c>
      <c r="B98" s="352" t="s">
        <v>151</v>
      </c>
      <c r="C98" s="352"/>
      <c r="D98" s="11">
        <f t="shared" si="37"/>
        <v>380470100</v>
      </c>
      <c r="E98" s="11">
        <f aca="true" t="shared" si="49" ref="E98:L98">SUM(E99:E101)</f>
        <v>0</v>
      </c>
      <c r="F98" s="11">
        <f t="shared" si="49"/>
        <v>0</v>
      </c>
      <c r="G98" s="11">
        <f t="shared" si="49"/>
        <v>380470100</v>
      </c>
      <c r="H98" s="11">
        <f t="shared" si="49"/>
        <v>0</v>
      </c>
      <c r="I98" s="11">
        <f t="shared" si="49"/>
        <v>0</v>
      </c>
      <c r="J98" s="11">
        <f t="shared" si="49"/>
        <v>0</v>
      </c>
      <c r="K98" s="11">
        <f t="shared" si="49"/>
        <v>0</v>
      </c>
      <c r="L98" s="11">
        <f t="shared" si="49"/>
        <v>0</v>
      </c>
      <c r="M98" s="11">
        <f t="shared" si="40"/>
        <v>400470100</v>
      </c>
      <c r="N98" s="11">
        <f aca="true" t="shared" si="50" ref="N98:U98">SUM(N99:N101)</f>
        <v>0</v>
      </c>
      <c r="O98" s="11">
        <f t="shared" si="50"/>
        <v>0</v>
      </c>
      <c r="P98" s="11">
        <f t="shared" si="50"/>
        <v>400470100</v>
      </c>
      <c r="Q98" s="11">
        <f t="shared" si="50"/>
        <v>0</v>
      </c>
      <c r="R98" s="11">
        <f t="shared" si="50"/>
        <v>0</v>
      </c>
      <c r="S98" s="11">
        <f t="shared" si="50"/>
        <v>0</v>
      </c>
      <c r="T98" s="11">
        <f t="shared" si="50"/>
        <v>0</v>
      </c>
      <c r="U98" s="11">
        <f t="shared" si="50"/>
        <v>0</v>
      </c>
      <c r="V98" s="32">
        <f>SUM(V99:V101)</f>
        <v>0</v>
      </c>
    </row>
    <row r="99" spans="1:22" s="32" customFormat="1" ht="18.75" thickBot="1">
      <c r="A99" s="353"/>
      <c r="B99" s="12" t="s">
        <v>152</v>
      </c>
      <c r="C99" s="19" t="s">
        <v>40</v>
      </c>
      <c r="D99" s="14">
        <f t="shared" si="37"/>
        <v>380470100</v>
      </c>
      <c r="E99" s="15">
        <f>'5.16. Nemzetközi pályázatok'!E10</f>
        <v>0</v>
      </c>
      <c r="F99" s="15">
        <f>'5.16. Nemzetközi pályázatok'!F10</f>
        <v>0</v>
      </c>
      <c r="G99" s="15">
        <f>'5.16. Nemzetközi pályázatok'!G10</f>
        <v>380470100</v>
      </c>
      <c r="H99" s="15">
        <f>'5.16. Nemzetközi pályázatok'!H10</f>
        <v>0</v>
      </c>
      <c r="I99" s="15">
        <f>'5.16. Nemzetközi pályázatok'!I10</f>
        <v>0</v>
      </c>
      <c r="J99" s="15">
        <f>'5.16. Nemzetközi pályázatok'!J10</f>
        <v>0</v>
      </c>
      <c r="K99" s="15">
        <f>'5.16. Nemzetközi pályázatok'!K10</f>
        <v>0</v>
      </c>
      <c r="L99" s="15">
        <f>'5.16. Nemzetközi pályázatok'!L10</f>
        <v>0</v>
      </c>
      <c r="M99" s="14">
        <f t="shared" si="40"/>
        <v>400470100</v>
      </c>
      <c r="N99" s="15">
        <f>'5.16. Nemzetközi pályázatok'!N10</f>
        <v>0</v>
      </c>
      <c r="O99" s="15">
        <f>'5.16. Nemzetközi pályázatok'!O10</f>
        <v>0</v>
      </c>
      <c r="P99" s="15">
        <f>'5.16. Nemzetközi pályázatok'!P10</f>
        <v>400470100</v>
      </c>
      <c r="Q99" s="15">
        <f>'5.16. Nemzetközi pályázatok'!Q10</f>
        <v>0</v>
      </c>
      <c r="R99" s="15">
        <f>'5.16. Nemzetközi pályázatok'!R10</f>
        <v>0</v>
      </c>
      <c r="S99" s="15">
        <f>'5.16. Nemzetközi pályázatok'!S10</f>
        <v>0</v>
      </c>
      <c r="T99" s="15">
        <f>'5.16. Nemzetközi pályázatok'!T10</f>
        <v>0</v>
      </c>
      <c r="U99" s="15">
        <f>'5.16. Nemzetközi pályázatok'!U10</f>
        <v>0</v>
      </c>
      <c r="V99" s="32">
        <f>'5.16. Nemzetközi pályázatok'!AE10</f>
        <v>0</v>
      </c>
    </row>
    <row r="100" spans="1:22" s="32" customFormat="1" ht="18.75" thickBot="1">
      <c r="A100" s="353"/>
      <c r="B100" s="12" t="s">
        <v>153</v>
      </c>
      <c r="C100" s="19" t="s">
        <v>42</v>
      </c>
      <c r="D100" s="14">
        <f t="shared" si="37"/>
        <v>0</v>
      </c>
      <c r="E100" s="20">
        <f>'5.16. Nemzetközi pályázatok'!E31</f>
        <v>0</v>
      </c>
      <c r="F100" s="20">
        <f>'5.16. Nemzetközi pályázatok'!F31</f>
        <v>0</v>
      </c>
      <c r="G100" s="20">
        <f>'5.16. Nemzetközi pályázatok'!G31</f>
        <v>0</v>
      </c>
      <c r="H100" s="20">
        <f>'5.16. Nemzetközi pályázatok'!H31</f>
        <v>0</v>
      </c>
      <c r="I100" s="20">
        <f>'5.16. Nemzetközi pályázatok'!I31</f>
        <v>0</v>
      </c>
      <c r="J100" s="20">
        <f>'5.16. Nemzetközi pályázatok'!J31</f>
        <v>0</v>
      </c>
      <c r="K100" s="20">
        <f>'5.16. Nemzetközi pályázatok'!K31</f>
        <v>0</v>
      </c>
      <c r="L100" s="20">
        <f>'5.16. Nemzetközi pályázatok'!L31</f>
        <v>0</v>
      </c>
      <c r="M100" s="14">
        <f t="shared" si="40"/>
        <v>0</v>
      </c>
      <c r="N100" s="20">
        <f>'5.16. Nemzetközi pályázatok'!N31</f>
        <v>0</v>
      </c>
      <c r="O100" s="20">
        <f>'5.16. Nemzetközi pályázatok'!O31</f>
        <v>0</v>
      </c>
      <c r="P100" s="20">
        <f>'5.16. Nemzetközi pályázatok'!P31</f>
        <v>0</v>
      </c>
      <c r="Q100" s="20">
        <f>'5.16. Nemzetközi pályázatok'!Q31</f>
        <v>0</v>
      </c>
      <c r="R100" s="20">
        <f>'5.16. Nemzetközi pályázatok'!R31</f>
        <v>0</v>
      </c>
      <c r="S100" s="20">
        <f>'5.16. Nemzetközi pályázatok'!S31</f>
        <v>0</v>
      </c>
      <c r="T100" s="20">
        <f>'5.16. Nemzetközi pályázatok'!T31</f>
        <v>0</v>
      </c>
      <c r="U100" s="20">
        <f>'5.16. Nemzetközi pályázatok'!U31</f>
        <v>0</v>
      </c>
      <c r="V100" s="32">
        <f>'5.16. Nemzetközi pályázatok'!AE31</f>
        <v>0</v>
      </c>
    </row>
    <row r="101" spans="1:22" s="32" customFormat="1" ht="18.75" thickBot="1">
      <c r="A101" s="353"/>
      <c r="B101" s="12" t="s">
        <v>154</v>
      </c>
      <c r="C101" s="28" t="s">
        <v>44</v>
      </c>
      <c r="D101" s="210">
        <f t="shared" si="37"/>
        <v>0</v>
      </c>
      <c r="E101" s="25">
        <f>'5.16. Nemzetközi pályázatok'!E32</f>
        <v>0</v>
      </c>
      <c r="F101" s="25">
        <f>'5.16. Nemzetközi pályázatok'!F32</f>
        <v>0</v>
      </c>
      <c r="G101" s="25">
        <f>'5.16. Nemzetközi pályázatok'!G32</f>
        <v>0</v>
      </c>
      <c r="H101" s="25">
        <f>'5.16. Nemzetközi pályázatok'!H32</f>
        <v>0</v>
      </c>
      <c r="I101" s="25">
        <f>'5.16. Nemzetközi pályázatok'!I32</f>
        <v>0</v>
      </c>
      <c r="J101" s="25">
        <f>'5.16. Nemzetközi pályázatok'!J32</f>
        <v>0</v>
      </c>
      <c r="K101" s="25">
        <f>'5.16. Nemzetközi pályázatok'!K32</f>
        <v>0</v>
      </c>
      <c r="L101" s="25">
        <f>'5.16. Nemzetközi pályázatok'!L32</f>
        <v>0</v>
      </c>
      <c r="M101" s="210">
        <f t="shared" si="40"/>
        <v>0</v>
      </c>
      <c r="N101" s="25">
        <f>'5.16. Nemzetközi pályázatok'!N32</f>
        <v>0</v>
      </c>
      <c r="O101" s="25">
        <f>'5.16. Nemzetközi pályázatok'!O32</f>
        <v>0</v>
      </c>
      <c r="P101" s="25">
        <f>'5.16. Nemzetközi pályázatok'!P32</f>
        <v>0</v>
      </c>
      <c r="Q101" s="25">
        <f>'5.16. Nemzetközi pályázatok'!Q32</f>
        <v>0</v>
      </c>
      <c r="R101" s="25">
        <f>'5.16. Nemzetközi pályázatok'!R32</f>
        <v>0</v>
      </c>
      <c r="S101" s="25">
        <f>'5.16. Nemzetközi pályázatok'!S32</f>
        <v>0</v>
      </c>
      <c r="T101" s="25">
        <f>'5.16. Nemzetközi pályázatok'!T32</f>
        <v>0</v>
      </c>
      <c r="U101" s="25">
        <f>'5.16. Nemzetközi pályázatok'!U32</f>
        <v>0</v>
      </c>
      <c r="V101" s="32">
        <f>'5.16. Nemzetközi pályázatok'!AE32</f>
        <v>0</v>
      </c>
    </row>
    <row r="102" spans="1:22" s="32" customFormat="1" ht="18" customHeight="1">
      <c r="A102" s="10" t="s">
        <v>155</v>
      </c>
      <c r="B102" s="352" t="s">
        <v>156</v>
      </c>
      <c r="C102" s="352"/>
      <c r="D102" s="11">
        <f t="shared" si="37"/>
        <v>17146657728</v>
      </c>
      <c r="E102" s="11">
        <f aca="true" t="shared" si="51" ref="E102:L102">SUM(E103:E105)</f>
        <v>0</v>
      </c>
      <c r="F102" s="11">
        <f t="shared" si="51"/>
        <v>0</v>
      </c>
      <c r="G102" s="11">
        <f t="shared" si="51"/>
        <v>598869372</v>
      </c>
      <c r="H102" s="11">
        <f t="shared" si="51"/>
        <v>0</v>
      </c>
      <c r="I102" s="11">
        <f t="shared" si="51"/>
        <v>0</v>
      </c>
      <c r="J102" s="11">
        <f t="shared" si="51"/>
        <v>16526169964</v>
      </c>
      <c r="K102" s="11">
        <f t="shared" si="51"/>
        <v>21618392</v>
      </c>
      <c r="L102" s="11">
        <f t="shared" si="51"/>
        <v>0</v>
      </c>
      <c r="M102" s="11">
        <f t="shared" si="40"/>
        <v>17146657728</v>
      </c>
      <c r="N102" s="11">
        <f aca="true" t="shared" si="52" ref="N102:U102">SUM(N103:N105)</f>
        <v>0</v>
      </c>
      <c r="O102" s="11">
        <f t="shared" si="52"/>
        <v>0</v>
      </c>
      <c r="P102" s="11">
        <f t="shared" si="52"/>
        <v>598869372</v>
      </c>
      <c r="Q102" s="11">
        <f t="shared" si="52"/>
        <v>0</v>
      </c>
      <c r="R102" s="11">
        <f t="shared" si="52"/>
        <v>0</v>
      </c>
      <c r="S102" s="11">
        <f t="shared" si="52"/>
        <v>16526169964</v>
      </c>
      <c r="T102" s="11">
        <f t="shared" si="52"/>
        <v>21618392</v>
      </c>
      <c r="U102" s="11">
        <f t="shared" si="52"/>
        <v>0</v>
      </c>
      <c r="V102" s="32">
        <f>SUM(V103:V105)</f>
        <v>0</v>
      </c>
    </row>
    <row r="103" spans="1:22" s="32" customFormat="1" ht="18.75" thickBot="1">
      <c r="A103" s="353"/>
      <c r="B103" s="12" t="s">
        <v>157</v>
      </c>
      <c r="C103" s="19" t="s">
        <v>40</v>
      </c>
      <c r="D103" s="14">
        <f t="shared" si="37"/>
        <v>17146657728</v>
      </c>
      <c r="E103" s="15">
        <f>'5.17. Vagyon'!E10</f>
        <v>0</v>
      </c>
      <c r="F103" s="15">
        <f>'5.17. Vagyon'!F10</f>
        <v>0</v>
      </c>
      <c r="G103" s="15">
        <f>'5.17. Vagyon'!G10</f>
        <v>598869372</v>
      </c>
      <c r="H103" s="15">
        <f>'5.17. Vagyon'!H10</f>
        <v>0</v>
      </c>
      <c r="I103" s="15">
        <f>'5.17. Vagyon'!I10</f>
        <v>0</v>
      </c>
      <c r="J103" s="15">
        <f>'5.17. Vagyon'!J10</f>
        <v>16526169964</v>
      </c>
      <c r="K103" s="15">
        <f>'5.17. Vagyon'!K10</f>
        <v>21618392</v>
      </c>
      <c r="L103" s="15">
        <f>'5.17. Vagyon'!L10</f>
        <v>0</v>
      </c>
      <c r="M103" s="14">
        <f t="shared" si="40"/>
        <v>17146657728</v>
      </c>
      <c r="N103" s="15">
        <f>'5.17. Vagyon'!N10</f>
        <v>0</v>
      </c>
      <c r="O103" s="15">
        <f>'5.17. Vagyon'!O10</f>
        <v>0</v>
      </c>
      <c r="P103" s="15">
        <f>'5.17. Vagyon'!P10</f>
        <v>598869372</v>
      </c>
      <c r="Q103" s="15">
        <f>'5.17. Vagyon'!Q10</f>
        <v>0</v>
      </c>
      <c r="R103" s="15">
        <f>'5.17. Vagyon'!R10</f>
        <v>0</v>
      </c>
      <c r="S103" s="15">
        <f>'5.17. Vagyon'!S10</f>
        <v>16526169964</v>
      </c>
      <c r="T103" s="15">
        <f>'5.17. Vagyon'!T10</f>
        <v>21618392</v>
      </c>
      <c r="U103" s="15">
        <f>'5.17. Vagyon'!U10</f>
        <v>0</v>
      </c>
      <c r="V103" s="32">
        <f>'5.17. Vagyon'!AE10</f>
        <v>0</v>
      </c>
    </row>
    <row r="104" spans="1:22" s="32" customFormat="1" ht="18.75" thickBot="1">
      <c r="A104" s="353"/>
      <c r="B104" s="12" t="s">
        <v>158</v>
      </c>
      <c r="C104" s="19" t="s">
        <v>42</v>
      </c>
      <c r="D104" s="14">
        <f t="shared" si="37"/>
        <v>0</v>
      </c>
      <c r="E104" s="20">
        <f>'5.17. Vagyon'!E30</f>
        <v>0</v>
      </c>
      <c r="F104" s="20">
        <f>'5.17. Vagyon'!F30</f>
        <v>0</v>
      </c>
      <c r="G104" s="20">
        <f>'5.17. Vagyon'!G30</f>
        <v>0</v>
      </c>
      <c r="H104" s="20">
        <f>'5.17. Vagyon'!H30</f>
        <v>0</v>
      </c>
      <c r="I104" s="20">
        <f>'5.17. Vagyon'!I30</f>
        <v>0</v>
      </c>
      <c r="J104" s="20">
        <f>'5.17. Vagyon'!J30</f>
        <v>0</v>
      </c>
      <c r="K104" s="20">
        <f>'5.17. Vagyon'!K30</f>
        <v>0</v>
      </c>
      <c r="L104" s="20">
        <f>'5.17. Vagyon'!L30</f>
        <v>0</v>
      </c>
      <c r="M104" s="14">
        <f t="shared" si="40"/>
        <v>0</v>
      </c>
      <c r="N104" s="20">
        <f>'5.17. Vagyon'!N30</f>
        <v>0</v>
      </c>
      <c r="O104" s="20">
        <f>'5.17. Vagyon'!O30</f>
        <v>0</v>
      </c>
      <c r="P104" s="20">
        <f>'5.17. Vagyon'!P30</f>
        <v>0</v>
      </c>
      <c r="Q104" s="20">
        <f>'5.17. Vagyon'!Q30</f>
        <v>0</v>
      </c>
      <c r="R104" s="20">
        <f>'5.17. Vagyon'!R30</f>
        <v>0</v>
      </c>
      <c r="S104" s="20">
        <f>'5.17. Vagyon'!S30</f>
        <v>0</v>
      </c>
      <c r="T104" s="20">
        <f>'5.17. Vagyon'!T30</f>
        <v>0</v>
      </c>
      <c r="U104" s="20">
        <f>'5.17. Vagyon'!U30</f>
        <v>0</v>
      </c>
      <c r="V104" s="32">
        <f>'5.17. Vagyon'!AE30</f>
        <v>0</v>
      </c>
    </row>
    <row r="105" spans="1:22" s="32" customFormat="1" ht="18.75" thickBot="1">
      <c r="A105" s="353"/>
      <c r="B105" s="12" t="s">
        <v>159</v>
      </c>
      <c r="C105" s="28" t="s">
        <v>44</v>
      </c>
      <c r="D105" s="210">
        <f t="shared" si="37"/>
        <v>0</v>
      </c>
      <c r="E105" s="25">
        <f>'5.17. Vagyon'!E31</f>
        <v>0</v>
      </c>
      <c r="F105" s="25">
        <f>'5.17. Vagyon'!F31</f>
        <v>0</v>
      </c>
      <c r="G105" s="25">
        <f>'5.17. Vagyon'!G31</f>
        <v>0</v>
      </c>
      <c r="H105" s="25">
        <f>'5.17. Vagyon'!H31</f>
        <v>0</v>
      </c>
      <c r="I105" s="25">
        <f>'5.17. Vagyon'!I31</f>
        <v>0</v>
      </c>
      <c r="J105" s="25">
        <f>'5.17. Vagyon'!J31</f>
        <v>0</v>
      </c>
      <c r="K105" s="25">
        <f>'5.17. Vagyon'!K31</f>
        <v>0</v>
      </c>
      <c r="L105" s="25">
        <f>'5.17. Vagyon'!L31</f>
        <v>0</v>
      </c>
      <c r="M105" s="210">
        <f t="shared" si="40"/>
        <v>0</v>
      </c>
      <c r="N105" s="25">
        <f>'5.17. Vagyon'!N31</f>
        <v>0</v>
      </c>
      <c r="O105" s="25">
        <f>'5.17. Vagyon'!O31</f>
        <v>0</v>
      </c>
      <c r="P105" s="25">
        <f>'5.17. Vagyon'!P31</f>
        <v>0</v>
      </c>
      <c r="Q105" s="25">
        <f>'5.17. Vagyon'!Q31</f>
        <v>0</v>
      </c>
      <c r="R105" s="25">
        <f>'5.17. Vagyon'!R31</f>
        <v>0</v>
      </c>
      <c r="S105" s="25">
        <f>'5.17. Vagyon'!S31</f>
        <v>0</v>
      </c>
      <c r="T105" s="25">
        <f>'5.17. Vagyon'!T31</f>
        <v>0</v>
      </c>
      <c r="U105" s="25">
        <f>'5.17. Vagyon'!U31</f>
        <v>0</v>
      </c>
      <c r="V105" s="32">
        <f>'5.17. Vagyon'!AE31</f>
        <v>0</v>
      </c>
    </row>
    <row r="106" spans="1:22" s="32" customFormat="1" ht="30.75" customHeight="1">
      <c r="A106" s="10" t="s">
        <v>160</v>
      </c>
      <c r="B106" s="352" t="s">
        <v>161</v>
      </c>
      <c r="C106" s="352"/>
      <c r="D106" s="11">
        <f t="shared" si="37"/>
        <v>11000000</v>
      </c>
      <c r="E106" s="11">
        <f aca="true" t="shared" si="53" ref="E106:L106">SUM(E107:E109)</f>
        <v>0</v>
      </c>
      <c r="F106" s="11">
        <f t="shared" si="53"/>
        <v>0</v>
      </c>
      <c r="G106" s="11">
        <f t="shared" si="53"/>
        <v>0</v>
      </c>
      <c r="H106" s="11">
        <f t="shared" si="53"/>
        <v>0</v>
      </c>
      <c r="I106" s="11">
        <f t="shared" si="53"/>
        <v>11000000</v>
      </c>
      <c r="J106" s="11">
        <f t="shared" si="53"/>
        <v>0</v>
      </c>
      <c r="K106" s="11">
        <f t="shared" si="53"/>
        <v>0</v>
      </c>
      <c r="L106" s="11">
        <f t="shared" si="53"/>
        <v>0</v>
      </c>
      <c r="M106" s="11">
        <f t="shared" si="40"/>
        <v>11000000</v>
      </c>
      <c r="N106" s="11">
        <f aca="true" t="shared" si="54" ref="N106:U106">SUM(N107:N109)</f>
        <v>0</v>
      </c>
      <c r="O106" s="11">
        <f t="shared" si="54"/>
        <v>0</v>
      </c>
      <c r="P106" s="11">
        <f t="shared" si="54"/>
        <v>0</v>
      </c>
      <c r="Q106" s="11">
        <f t="shared" si="54"/>
        <v>0</v>
      </c>
      <c r="R106" s="11">
        <f t="shared" si="54"/>
        <v>11000000</v>
      </c>
      <c r="S106" s="11">
        <f t="shared" si="54"/>
        <v>0</v>
      </c>
      <c r="T106" s="11">
        <f t="shared" si="54"/>
        <v>0</v>
      </c>
      <c r="U106" s="11">
        <f t="shared" si="54"/>
        <v>0</v>
      </c>
      <c r="V106" s="32">
        <f>SUM(V107:V109)</f>
        <v>0</v>
      </c>
    </row>
    <row r="107" spans="1:22" s="32" customFormat="1" ht="18.75" thickBot="1">
      <c r="A107" s="359"/>
      <c r="B107" s="12" t="s">
        <v>162</v>
      </c>
      <c r="C107" s="19" t="s">
        <v>40</v>
      </c>
      <c r="D107" s="14">
        <f t="shared" si="37"/>
        <v>0</v>
      </c>
      <c r="E107" s="15">
        <f>'5.18. Nemzetiség'!E10</f>
        <v>0</v>
      </c>
      <c r="F107" s="16">
        <f>'5.18. Nemzetiség'!F10</f>
        <v>0</v>
      </c>
      <c r="G107" s="16">
        <f>'5.18. Nemzetiség'!G10</f>
        <v>0</v>
      </c>
      <c r="H107" s="16">
        <f>'5.18. Nemzetiség'!H10</f>
        <v>0</v>
      </c>
      <c r="I107" s="16">
        <f>'5.18. Nemzetiség'!I10</f>
        <v>0</v>
      </c>
      <c r="J107" s="16">
        <f>'5.18. Nemzetiség'!J10</f>
        <v>0</v>
      </c>
      <c r="K107" s="16">
        <f>'5.18. Nemzetiség'!K10</f>
        <v>0</v>
      </c>
      <c r="L107" s="29">
        <f>'5.18. Nemzetiség'!L10</f>
        <v>0</v>
      </c>
      <c r="M107" s="14">
        <f t="shared" si="40"/>
        <v>0</v>
      </c>
      <c r="N107" s="15">
        <f>'5.18. Nemzetiség'!N10</f>
        <v>0</v>
      </c>
      <c r="O107" s="16">
        <f>'5.18. Nemzetiség'!O10</f>
        <v>0</v>
      </c>
      <c r="P107" s="16">
        <f>'5.18. Nemzetiség'!P10</f>
        <v>0</v>
      </c>
      <c r="Q107" s="16">
        <f>'5.18. Nemzetiség'!Q10</f>
        <v>0</v>
      </c>
      <c r="R107" s="16">
        <f>'5.18. Nemzetiség'!R10</f>
        <v>0</v>
      </c>
      <c r="S107" s="16">
        <f>'5.18. Nemzetiség'!S10</f>
        <v>0</v>
      </c>
      <c r="T107" s="16">
        <f>'5.18. Nemzetiség'!T10</f>
        <v>0</v>
      </c>
      <c r="U107" s="29">
        <f>'5.18. Nemzetiség'!U10</f>
        <v>0</v>
      </c>
      <c r="V107" s="32">
        <f>'5.18. Nemzetiség'!AE10</f>
        <v>0</v>
      </c>
    </row>
    <row r="108" spans="1:22" s="32" customFormat="1" ht="18.75" thickBot="1">
      <c r="A108" s="359"/>
      <c r="B108" s="12" t="s">
        <v>163</v>
      </c>
      <c r="C108" s="19" t="s">
        <v>42</v>
      </c>
      <c r="D108" s="14">
        <f t="shared" si="37"/>
        <v>11000000</v>
      </c>
      <c r="E108" s="20">
        <f>'5.18. Nemzetiség'!E11</f>
        <v>0</v>
      </c>
      <c r="F108" s="21">
        <f>'5.18. Nemzetiség'!F11</f>
        <v>0</v>
      </c>
      <c r="G108" s="21">
        <f>'5.18. Nemzetiség'!G11</f>
        <v>0</v>
      </c>
      <c r="H108" s="21">
        <f>'5.18. Nemzetiség'!H11</f>
        <v>0</v>
      </c>
      <c r="I108" s="21">
        <v>11000000</v>
      </c>
      <c r="J108" s="21">
        <f>'5.18. Nemzetiség'!J11</f>
        <v>0</v>
      </c>
      <c r="K108" s="21">
        <f>'5.18. Nemzetiség'!K11</f>
        <v>0</v>
      </c>
      <c r="L108" s="30">
        <f>'5.18. Nemzetiség'!L11</f>
        <v>0</v>
      </c>
      <c r="M108" s="14">
        <f t="shared" si="40"/>
        <v>11000000</v>
      </c>
      <c r="N108" s="20">
        <f>'5.18. Nemzetiség'!N11</f>
        <v>0</v>
      </c>
      <c r="O108" s="21">
        <f>'5.18. Nemzetiség'!O11</f>
        <v>0</v>
      </c>
      <c r="P108" s="21">
        <f>'5.18. Nemzetiség'!P11</f>
        <v>0</v>
      </c>
      <c r="Q108" s="21">
        <f>'5.18. Nemzetiség'!Q11</f>
        <v>0</v>
      </c>
      <c r="R108" s="21">
        <v>11000000</v>
      </c>
      <c r="S108" s="21">
        <f>'5.18. Nemzetiség'!S11</f>
        <v>0</v>
      </c>
      <c r="T108" s="21">
        <f>'5.18. Nemzetiség'!T11</f>
        <v>0</v>
      </c>
      <c r="U108" s="30">
        <f>'5.18. Nemzetiség'!U11</f>
        <v>0</v>
      </c>
      <c r="V108" s="32">
        <f>'5.18. Nemzetiség'!AE11</f>
        <v>0</v>
      </c>
    </row>
    <row r="109" spans="1:22" s="32" customFormat="1" ht="18.75" thickBot="1">
      <c r="A109" s="359"/>
      <c r="B109" s="12" t="s">
        <v>164</v>
      </c>
      <c r="C109" s="28" t="s">
        <v>44</v>
      </c>
      <c r="D109" s="210">
        <f t="shared" si="37"/>
        <v>0</v>
      </c>
      <c r="E109" s="25">
        <f>'5.18. Nemzetiség'!E19</f>
        <v>0</v>
      </c>
      <c r="F109" s="26">
        <f>'5.18. Nemzetiség'!F19</f>
        <v>0</v>
      </c>
      <c r="G109" s="26">
        <f>'5.18. Nemzetiség'!G19</f>
        <v>0</v>
      </c>
      <c r="H109" s="26">
        <f>'5.18. Nemzetiség'!H19</f>
        <v>0</v>
      </c>
      <c r="I109" s="26">
        <f>'5.18. Nemzetiség'!I19</f>
        <v>0</v>
      </c>
      <c r="J109" s="26">
        <f>'5.18. Nemzetiség'!J19</f>
        <v>0</v>
      </c>
      <c r="K109" s="26">
        <f>'5.18. Nemzetiség'!K19</f>
        <v>0</v>
      </c>
      <c r="L109" s="31">
        <f>'5.18. Nemzetiség'!L19</f>
        <v>0</v>
      </c>
      <c r="M109" s="210">
        <f t="shared" si="40"/>
        <v>0</v>
      </c>
      <c r="N109" s="25">
        <f>'5.18. Nemzetiség'!N19</f>
        <v>0</v>
      </c>
      <c r="O109" s="26">
        <f>'5.18. Nemzetiség'!O19</f>
        <v>0</v>
      </c>
      <c r="P109" s="26">
        <f>'5.18. Nemzetiség'!P19</f>
        <v>0</v>
      </c>
      <c r="Q109" s="26">
        <f>'5.18. Nemzetiség'!Q19</f>
        <v>0</v>
      </c>
      <c r="R109" s="26">
        <f>'5.18. Nemzetiség'!R19</f>
        <v>0</v>
      </c>
      <c r="S109" s="26">
        <f>'5.18. Nemzetiség'!S19</f>
        <v>0</v>
      </c>
      <c r="T109" s="26">
        <f>'5.18. Nemzetiség'!T19</f>
        <v>0</v>
      </c>
      <c r="U109" s="31">
        <f>'5.18. Nemzetiség'!U19</f>
        <v>0</v>
      </c>
      <c r="V109" s="32">
        <f>'5.18. Nemzetiség'!AE19</f>
        <v>0</v>
      </c>
    </row>
    <row r="110" spans="1:22" s="32" customFormat="1" ht="18" customHeight="1">
      <c r="A110" s="10" t="s">
        <v>165</v>
      </c>
      <c r="B110" s="352" t="s">
        <v>166</v>
      </c>
      <c r="C110" s="352"/>
      <c r="D110" s="11">
        <f t="shared" si="37"/>
        <v>50000000</v>
      </c>
      <c r="E110" s="11">
        <f aca="true" t="shared" si="55" ref="E110:L110">SUM(E111:E113)</f>
        <v>0</v>
      </c>
      <c r="F110" s="11">
        <f t="shared" si="55"/>
        <v>0</v>
      </c>
      <c r="G110" s="11">
        <f t="shared" si="55"/>
        <v>0</v>
      </c>
      <c r="H110" s="11">
        <f t="shared" si="55"/>
        <v>0</v>
      </c>
      <c r="I110" s="11">
        <f t="shared" si="55"/>
        <v>50000000</v>
      </c>
      <c r="J110" s="11">
        <f t="shared" si="55"/>
        <v>0</v>
      </c>
      <c r="K110" s="11">
        <f t="shared" si="55"/>
        <v>0</v>
      </c>
      <c r="L110" s="11">
        <f t="shared" si="55"/>
        <v>0</v>
      </c>
      <c r="M110" s="11">
        <f t="shared" si="40"/>
        <v>251735954</v>
      </c>
      <c r="N110" s="11">
        <f aca="true" t="shared" si="56" ref="N110:U110">SUM(N111:N113)</f>
        <v>0</v>
      </c>
      <c r="O110" s="11">
        <f t="shared" si="56"/>
        <v>0</v>
      </c>
      <c r="P110" s="11">
        <f t="shared" si="56"/>
        <v>0</v>
      </c>
      <c r="Q110" s="11">
        <f t="shared" si="56"/>
        <v>0</v>
      </c>
      <c r="R110" s="11">
        <f t="shared" si="56"/>
        <v>251735954</v>
      </c>
      <c r="S110" s="11">
        <f t="shared" si="56"/>
        <v>0</v>
      </c>
      <c r="T110" s="11">
        <f t="shared" si="56"/>
        <v>0</v>
      </c>
      <c r="U110" s="11">
        <f t="shared" si="56"/>
        <v>0</v>
      </c>
      <c r="V110" s="32">
        <f>SUM(V111:V113)</f>
        <v>0</v>
      </c>
    </row>
    <row r="111" spans="1:22" s="32" customFormat="1" ht="18.75" thickBot="1">
      <c r="A111" s="353"/>
      <c r="B111" s="12" t="s">
        <v>167</v>
      </c>
      <c r="C111" s="19" t="s">
        <v>40</v>
      </c>
      <c r="D111" s="14">
        <f t="shared" si="37"/>
        <v>50000000</v>
      </c>
      <c r="E111" s="15">
        <v>0</v>
      </c>
      <c r="F111" s="16">
        <v>0</v>
      </c>
      <c r="G111" s="16">
        <v>0</v>
      </c>
      <c r="H111" s="16">
        <v>0</v>
      </c>
      <c r="I111" s="16">
        <v>50000000</v>
      </c>
      <c r="J111" s="16">
        <v>0</v>
      </c>
      <c r="K111" s="16">
        <v>0</v>
      </c>
      <c r="L111" s="17">
        <v>0</v>
      </c>
      <c r="M111" s="14">
        <f t="shared" si="40"/>
        <v>251735954</v>
      </c>
      <c r="N111" s="15">
        <v>0</v>
      </c>
      <c r="O111" s="16">
        <v>0</v>
      </c>
      <c r="P111" s="16">
        <v>0</v>
      </c>
      <c r="Q111" s="16">
        <v>0</v>
      </c>
      <c r="R111" s="16">
        <f>256735954-5000000</f>
        <v>251735954</v>
      </c>
      <c r="S111" s="16">
        <v>0</v>
      </c>
      <c r="T111" s="16">
        <v>0</v>
      </c>
      <c r="U111" s="17">
        <v>0</v>
      </c>
      <c r="V111" s="32">
        <v>0</v>
      </c>
    </row>
    <row r="112" spans="1:22" s="32" customFormat="1" ht="18.75" thickBot="1">
      <c r="A112" s="353"/>
      <c r="B112" s="12" t="s">
        <v>168</v>
      </c>
      <c r="C112" s="19" t="s">
        <v>42</v>
      </c>
      <c r="D112" s="14">
        <f t="shared" si="37"/>
        <v>0</v>
      </c>
      <c r="E112" s="20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2">
        <v>0</v>
      </c>
      <c r="M112" s="14">
        <f t="shared" si="40"/>
        <v>0</v>
      </c>
      <c r="N112" s="20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2">
        <v>0</v>
      </c>
      <c r="V112" s="32">
        <v>0</v>
      </c>
    </row>
    <row r="113" spans="1:22" s="32" customFormat="1" ht="18.75" thickBot="1">
      <c r="A113" s="353"/>
      <c r="B113" s="12" t="s">
        <v>169</v>
      </c>
      <c r="C113" s="28" t="s">
        <v>44</v>
      </c>
      <c r="D113" s="210">
        <f t="shared" si="37"/>
        <v>0</v>
      </c>
      <c r="E113" s="25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7">
        <v>0</v>
      </c>
      <c r="M113" s="210">
        <f t="shared" si="40"/>
        <v>0</v>
      </c>
      <c r="N113" s="25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7">
        <v>0</v>
      </c>
      <c r="V113" s="32">
        <v>0</v>
      </c>
    </row>
    <row r="114" spans="1:22" s="32" customFormat="1" ht="18" customHeight="1">
      <c r="A114" s="10" t="s">
        <v>170</v>
      </c>
      <c r="B114" s="352" t="s">
        <v>171</v>
      </c>
      <c r="C114" s="352"/>
      <c r="D114" s="11">
        <f t="shared" si="37"/>
        <v>118134693</v>
      </c>
      <c r="E114" s="11">
        <f aca="true" t="shared" si="57" ref="E114:L114">SUM(E115:E117)</f>
        <v>0</v>
      </c>
      <c r="F114" s="11">
        <f t="shared" si="57"/>
        <v>0</v>
      </c>
      <c r="G114" s="11">
        <f t="shared" si="57"/>
        <v>0</v>
      </c>
      <c r="H114" s="11">
        <f t="shared" si="57"/>
        <v>0</v>
      </c>
      <c r="I114" s="11">
        <f t="shared" si="57"/>
        <v>118134693</v>
      </c>
      <c r="J114" s="11">
        <f t="shared" si="57"/>
        <v>0</v>
      </c>
      <c r="K114" s="11">
        <f t="shared" si="57"/>
        <v>0</v>
      </c>
      <c r="L114" s="11">
        <f t="shared" si="57"/>
        <v>0</v>
      </c>
      <c r="M114" s="11">
        <f t="shared" si="40"/>
        <v>207134693</v>
      </c>
      <c r="N114" s="11">
        <f aca="true" t="shared" si="58" ref="N114:U114">SUM(N115:N117)</f>
        <v>0</v>
      </c>
      <c r="O114" s="11">
        <f t="shared" si="58"/>
        <v>0</v>
      </c>
      <c r="P114" s="11">
        <f t="shared" si="58"/>
        <v>0</v>
      </c>
      <c r="Q114" s="11">
        <f t="shared" si="58"/>
        <v>0</v>
      </c>
      <c r="R114" s="11">
        <f t="shared" si="58"/>
        <v>207134693</v>
      </c>
      <c r="S114" s="11">
        <f t="shared" si="58"/>
        <v>0</v>
      </c>
      <c r="T114" s="11">
        <f t="shared" si="58"/>
        <v>0</v>
      </c>
      <c r="U114" s="11">
        <f t="shared" si="58"/>
        <v>0</v>
      </c>
      <c r="V114" s="32">
        <f>SUM(V115:V117)</f>
        <v>0</v>
      </c>
    </row>
    <row r="115" spans="1:22" s="32" customFormat="1" ht="18.75" thickBot="1">
      <c r="A115" s="353"/>
      <c r="B115" s="12" t="s">
        <v>172</v>
      </c>
      <c r="C115" s="19" t="s">
        <v>40</v>
      </c>
      <c r="D115" s="14">
        <f t="shared" si="37"/>
        <v>118134693</v>
      </c>
      <c r="E115" s="15">
        <f>'5.19. Céltartalék'!E10</f>
        <v>0</v>
      </c>
      <c r="F115" s="16">
        <f>'5.19. Céltartalék'!F10</f>
        <v>0</v>
      </c>
      <c r="G115" s="16">
        <f>'5.19. Céltartalék'!G10</f>
        <v>0</v>
      </c>
      <c r="H115" s="16">
        <f>'5.19. Céltartalék'!H10</f>
        <v>0</v>
      </c>
      <c r="I115" s="16">
        <f>'5.19. Céltartalék'!I10</f>
        <v>118134693</v>
      </c>
      <c r="J115" s="16">
        <f>'5.19. Céltartalék'!J10</f>
        <v>0</v>
      </c>
      <c r="K115" s="16">
        <f>'5.19. Céltartalék'!K10</f>
        <v>0</v>
      </c>
      <c r="L115" s="29">
        <f>'5.19. Céltartalék'!L10</f>
        <v>0</v>
      </c>
      <c r="M115" s="14">
        <f t="shared" si="40"/>
        <v>207134693</v>
      </c>
      <c r="N115" s="15">
        <f>'5.19. Céltartalék'!N10</f>
        <v>0</v>
      </c>
      <c r="O115" s="16">
        <f>'5.19. Céltartalék'!O10</f>
        <v>0</v>
      </c>
      <c r="P115" s="16">
        <f>'5.19. Céltartalék'!P10</f>
        <v>0</v>
      </c>
      <c r="Q115" s="16">
        <f>'5.19. Céltartalék'!Q10</f>
        <v>0</v>
      </c>
      <c r="R115" s="16">
        <f>'5.19. Céltartalék'!R10</f>
        <v>207134693</v>
      </c>
      <c r="S115" s="16">
        <f>'5.19. Céltartalék'!S10</f>
        <v>0</v>
      </c>
      <c r="T115" s="16">
        <f>'5.19. Céltartalék'!T10</f>
        <v>0</v>
      </c>
      <c r="U115" s="29">
        <f>'5.19. Céltartalék'!U10</f>
        <v>0</v>
      </c>
      <c r="V115" s="32">
        <f>'5.19. Céltartalék'!AE10</f>
        <v>0</v>
      </c>
    </row>
    <row r="116" spans="1:22" s="32" customFormat="1" ht="18.75" thickBot="1">
      <c r="A116" s="353"/>
      <c r="B116" s="12" t="s">
        <v>173</v>
      </c>
      <c r="C116" s="19" t="s">
        <v>42</v>
      </c>
      <c r="D116" s="14">
        <f t="shared" si="37"/>
        <v>0</v>
      </c>
      <c r="E116" s="20">
        <f>'5.19. Céltartalék'!E22</f>
        <v>0</v>
      </c>
      <c r="F116" s="21">
        <f>'5.19. Céltartalék'!F22</f>
        <v>0</v>
      </c>
      <c r="G116" s="21">
        <f>'5.19. Céltartalék'!G22</f>
        <v>0</v>
      </c>
      <c r="H116" s="21">
        <f>'5.19. Céltartalék'!H22</f>
        <v>0</v>
      </c>
      <c r="I116" s="21">
        <f>'5.19. Céltartalék'!I22</f>
        <v>0</v>
      </c>
      <c r="J116" s="21">
        <f>'5.19. Céltartalék'!J22</f>
        <v>0</v>
      </c>
      <c r="K116" s="21">
        <f>'5.19. Céltartalék'!K22</f>
        <v>0</v>
      </c>
      <c r="L116" s="30">
        <f>'5.19. Céltartalék'!L22</f>
        <v>0</v>
      </c>
      <c r="M116" s="14">
        <f t="shared" si="40"/>
        <v>0</v>
      </c>
      <c r="N116" s="20">
        <f>'5.19. Céltartalék'!N22</f>
        <v>0</v>
      </c>
      <c r="O116" s="21">
        <f>'5.19. Céltartalék'!O22</f>
        <v>0</v>
      </c>
      <c r="P116" s="21">
        <f>'5.19. Céltartalék'!P22</f>
        <v>0</v>
      </c>
      <c r="Q116" s="21">
        <f>'5.19. Céltartalék'!Q22</f>
        <v>0</v>
      </c>
      <c r="R116" s="21">
        <f>'5.19. Céltartalék'!R22</f>
        <v>0</v>
      </c>
      <c r="S116" s="21">
        <f>'5.19. Céltartalék'!S22</f>
        <v>0</v>
      </c>
      <c r="T116" s="21">
        <f>'5.19. Céltartalék'!T22</f>
        <v>0</v>
      </c>
      <c r="U116" s="30">
        <f>'5.19. Céltartalék'!U22</f>
        <v>0</v>
      </c>
      <c r="V116" s="32">
        <f>'5.19. Céltartalék'!AE22</f>
        <v>0</v>
      </c>
    </row>
    <row r="117" spans="1:22" s="32" customFormat="1" ht="18.75" thickBot="1">
      <c r="A117" s="353"/>
      <c r="B117" s="12" t="s">
        <v>174</v>
      </c>
      <c r="C117" s="28" t="s">
        <v>44</v>
      </c>
      <c r="D117" s="14">
        <f t="shared" si="37"/>
        <v>0</v>
      </c>
      <c r="E117" s="25">
        <f>'5.19. Céltartalék'!E23</f>
        <v>0</v>
      </c>
      <c r="F117" s="26">
        <f>'5.19. Céltartalék'!F23</f>
        <v>0</v>
      </c>
      <c r="G117" s="26">
        <f>'5.19. Céltartalék'!G23</f>
        <v>0</v>
      </c>
      <c r="H117" s="26">
        <f>'5.19. Céltartalék'!H23</f>
        <v>0</v>
      </c>
      <c r="I117" s="26">
        <f>'5.19. Céltartalék'!I23</f>
        <v>0</v>
      </c>
      <c r="J117" s="26">
        <f>'5.19. Céltartalék'!J23</f>
        <v>0</v>
      </c>
      <c r="K117" s="26">
        <f>'5.19. Céltartalék'!K23</f>
        <v>0</v>
      </c>
      <c r="L117" s="31">
        <f>'5.19. Céltartalék'!L23</f>
        <v>0</v>
      </c>
      <c r="M117" s="14">
        <f t="shared" si="40"/>
        <v>0</v>
      </c>
      <c r="N117" s="25">
        <f>'5.19. Céltartalék'!N23</f>
        <v>0</v>
      </c>
      <c r="O117" s="26">
        <f>'5.19. Céltartalék'!O23</f>
        <v>0</v>
      </c>
      <c r="P117" s="26">
        <f>'5.19. Céltartalék'!P23</f>
        <v>0</v>
      </c>
      <c r="Q117" s="26">
        <f>'5.19. Céltartalék'!Q23</f>
        <v>0</v>
      </c>
      <c r="R117" s="26">
        <f>'5.19. Céltartalék'!R23</f>
        <v>0</v>
      </c>
      <c r="S117" s="26">
        <f>'5.19. Céltartalék'!S23</f>
        <v>0</v>
      </c>
      <c r="T117" s="26">
        <f>'5.19. Céltartalék'!T23</f>
        <v>0</v>
      </c>
      <c r="U117" s="31">
        <f>'5.19. Céltartalék'!U23</f>
        <v>0</v>
      </c>
      <c r="V117" s="32">
        <f>'5.19. Céltartalék'!AE23</f>
        <v>0</v>
      </c>
    </row>
    <row r="118" spans="1:22" ht="18" customHeight="1" thickBot="1">
      <c r="A118" s="356" t="s">
        <v>175</v>
      </c>
      <c r="B118" s="356"/>
      <c r="C118" s="357"/>
      <c r="D118" s="208">
        <f>SUM(E118:L118)</f>
        <v>132585354655.97</v>
      </c>
      <c r="E118" s="11">
        <f>SUM(E119:E121)</f>
        <v>359248113</v>
      </c>
      <c r="F118" s="11">
        <f aca="true" t="shared" si="59" ref="F118:K118">SUM(F119:F121)</f>
        <v>101889440</v>
      </c>
      <c r="G118" s="11">
        <f t="shared" si="59"/>
        <v>9919778646</v>
      </c>
      <c r="H118" s="11">
        <f t="shared" si="59"/>
        <v>392681405</v>
      </c>
      <c r="I118" s="11">
        <f t="shared" si="59"/>
        <v>4571448365</v>
      </c>
      <c r="J118" s="11">
        <f t="shared" si="59"/>
        <v>109460088422.97</v>
      </c>
      <c r="K118" s="11">
        <f t="shared" si="59"/>
        <v>7068660264</v>
      </c>
      <c r="L118" s="11">
        <f>SUM(L119:L121)</f>
        <v>711560000</v>
      </c>
      <c r="M118" s="208">
        <f>SUM(N118:U118)</f>
        <v>133011003386.97</v>
      </c>
      <c r="N118" s="11">
        <f>SUM(N119:N121)</f>
        <v>359248113</v>
      </c>
      <c r="O118" s="11">
        <f aca="true" t="shared" si="60" ref="O118:T118">SUM(O119:O121)</f>
        <v>101889440</v>
      </c>
      <c r="P118" s="11">
        <f t="shared" si="60"/>
        <v>9939076146</v>
      </c>
      <c r="Q118" s="11">
        <f t="shared" si="60"/>
        <v>393396682</v>
      </c>
      <c r="R118" s="11">
        <f t="shared" si="60"/>
        <v>4897084319</v>
      </c>
      <c r="S118" s="11">
        <f t="shared" si="60"/>
        <v>109460088422.97</v>
      </c>
      <c r="T118" s="11">
        <f t="shared" si="60"/>
        <v>7128660264</v>
      </c>
      <c r="U118" s="11">
        <f>SUM(U119:U121)</f>
        <v>731560000</v>
      </c>
      <c r="V118" t="e">
        <f>SUM(V119:V121)</f>
        <v>#REF!</v>
      </c>
    </row>
    <row r="119" spans="1:22" ht="18" customHeight="1" thickBot="1">
      <c r="A119" s="360" t="s">
        <v>176</v>
      </c>
      <c r="B119" s="360"/>
      <c r="C119" s="361"/>
      <c r="D119" s="208">
        <f>SUM(E119:L119)</f>
        <v>40434086016</v>
      </c>
      <c r="E119" s="33">
        <f>E11+E15+E19+E27+E31+E35+E39+E43+E47+E51+E55+E59+E63+E67+E71+E75+E79+E83+E87+E91+E95+E99+E103+E107+E111+E115+E23</f>
        <v>256386069</v>
      </c>
      <c r="F119" s="33">
        <f aca="true" t="shared" si="61" ref="E119:L121">F11+F15+F19+F27+F31+F35+F39+F43+F47+F51+F55+F59+F63+F67+F71+F75+F79+F83+F87+F91+F95+F99+F103+F107+F111+F115+F23</f>
        <v>55726743</v>
      </c>
      <c r="G119" s="33">
        <f>G11+G15+G19+G27+G31+G35+G39+G43+G47+G51+G55+G59+G63+G67+G71+G75+G79+G83+G87+G91+G95+G99+G103+G107+G111+G115+G23</f>
        <v>7307545424</v>
      </c>
      <c r="H119" s="33">
        <f t="shared" si="61"/>
        <v>209642232</v>
      </c>
      <c r="I119" s="33">
        <f t="shared" si="61"/>
        <v>3967092557</v>
      </c>
      <c r="J119" s="33">
        <f t="shared" si="61"/>
        <v>27571272315</v>
      </c>
      <c r="K119" s="33">
        <f t="shared" si="61"/>
        <v>355130676</v>
      </c>
      <c r="L119" s="33">
        <f>L11+L15+L19+L27+L31+L35+L39+L43+L47+L51+L55+L59+L63+L67+L71+L75+L79+L83+L87+L91+L95+L99+L103+L107+L111+L115+L23</f>
        <v>711290000</v>
      </c>
      <c r="M119" s="208">
        <f>SUM(N119:U119)</f>
        <v>40753734747</v>
      </c>
      <c r="N119" s="33">
        <f aca="true" t="shared" si="62" ref="N119:V119">N11+N15+N19+N27+N31+N35+N39+N43+N47+N51+N55+N59+N63+N67+N71+N75+N79+N83+N87+N91+N95+N99+N103+N107+N111+N115+N23</f>
        <v>256386069</v>
      </c>
      <c r="O119" s="33">
        <f t="shared" si="62"/>
        <v>55726743</v>
      </c>
      <c r="P119" s="33">
        <f t="shared" si="62"/>
        <v>7326842924</v>
      </c>
      <c r="Q119" s="33">
        <f t="shared" si="62"/>
        <v>210357509</v>
      </c>
      <c r="R119" s="33">
        <f t="shared" si="62"/>
        <v>4266728511</v>
      </c>
      <c r="S119" s="33">
        <f t="shared" si="62"/>
        <v>27571272315</v>
      </c>
      <c r="T119" s="33">
        <f t="shared" si="62"/>
        <v>355130676</v>
      </c>
      <c r="U119" s="33">
        <f t="shared" si="62"/>
        <v>711290000</v>
      </c>
      <c r="V119" t="e">
        <f t="shared" si="62"/>
        <v>#REF!</v>
      </c>
    </row>
    <row r="120" spans="1:22" ht="18" customHeight="1" thickBot="1">
      <c r="A120" s="360" t="s">
        <v>177</v>
      </c>
      <c r="B120" s="360"/>
      <c r="C120" s="361"/>
      <c r="D120" s="208">
        <f t="shared" si="37"/>
        <v>92135268639.97</v>
      </c>
      <c r="E120" s="33">
        <f>E12+E16+E20+E28+E32+E36+E40+E44+E48+E52+E56+E60+E64+E68+E72+E76+E80+E84+E88+E92+E96+E100+E104+E108+E112+E116+E24</f>
        <v>102862044</v>
      </c>
      <c r="F120" s="33">
        <f t="shared" si="61"/>
        <v>46162697</v>
      </c>
      <c r="G120" s="33">
        <f t="shared" si="61"/>
        <v>2596233222</v>
      </c>
      <c r="H120" s="33">
        <f t="shared" si="61"/>
        <v>183039173</v>
      </c>
      <c r="I120" s="33">
        <f t="shared" si="61"/>
        <v>604355808</v>
      </c>
      <c r="J120" s="33">
        <f t="shared" si="61"/>
        <v>81888816107.97</v>
      </c>
      <c r="K120" s="33">
        <f t="shared" si="61"/>
        <v>6713529588</v>
      </c>
      <c r="L120" s="33">
        <f t="shared" si="61"/>
        <v>270000</v>
      </c>
      <c r="M120" s="208">
        <f>SUM(N120:U120)</f>
        <v>92241268639.97</v>
      </c>
      <c r="N120" s="33">
        <f>N12+N16+N20+N28+N32+N36+N40+N44+N48+N52+N56+N60+N64+N68+N72+N76+N80+N84+N88+N92+N96+N100+N104+N108+N112+N116+N24</f>
        <v>102862044</v>
      </c>
      <c r="O120" s="33">
        <f aca="true" t="shared" si="63" ref="O120:U120">O12+O16+O20+O28+O32+O36+O40+O44+O48+O52+O56+O60+O64+O68+O72+O76+O80+O84+O88+O92+O96+O100+O104+O108+O112+O116+O24</f>
        <v>46162697</v>
      </c>
      <c r="P120" s="33">
        <f t="shared" si="63"/>
        <v>2596233222</v>
      </c>
      <c r="Q120" s="33">
        <f t="shared" si="63"/>
        <v>183039173</v>
      </c>
      <c r="R120" s="33">
        <f t="shared" si="63"/>
        <v>630355808</v>
      </c>
      <c r="S120" s="33">
        <f t="shared" si="63"/>
        <v>81888816107.97</v>
      </c>
      <c r="T120" s="33">
        <f t="shared" si="63"/>
        <v>6773529588</v>
      </c>
      <c r="U120" s="33">
        <f t="shared" si="63"/>
        <v>20270000</v>
      </c>
      <c r="V120" t="e">
        <f>V12+V16+V20+V28+V32+V36+V40+V44+V48+V52+V56+V60+V64+V68+V72+V76+V80+V84+V88+V92+V96+V100+V104+V108+V112+V116+V24</f>
        <v>#REF!</v>
      </c>
    </row>
    <row r="121" spans="1:22" ht="18" customHeight="1">
      <c r="A121" s="360" t="s">
        <v>178</v>
      </c>
      <c r="B121" s="360"/>
      <c r="C121" s="361"/>
      <c r="D121" s="208">
        <f t="shared" si="37"/>
        <v>16000000</v>
      </c>
      <c r="E121" s="33">
        <f t="shared" si="61"/>
        <v>0</v>
      </c>
      <c r="F121" s="33">
        <f t="shared" si="61"/>
        <v>0</v>
      </c>
      <c r="G121" s="33">
        <f t="shared" si="61"/>
        <v>16000000</v>
      </c>
      <c r="H121" s="33">
        <f t="shared" si="61"/>
        <v>0</v>
      </c>
      <c r="I121" s="33">
        <f t="shared" si="61"/>
        <v>0</v>
      </c>
      <c r="J121" s="33">
        <f t="shared" si="61"/>
        <v>0</v>
      </c>
      <c r="K121" s="33">
        <f t="shared" si="61"/>
        <v>0</v>
      </c>
      <c r="L121" s="33">
        <f t="shared" si="61"/>
        <v>0</v>
      </c>
      <c r="M121" s="208">
        <f>SUM(N121:U121)</f>
        <v>16000000</v>
      </c>
      <c r="N121" s="33">
        <f aca="true" t="shared" si="64" ref="N121:U121">N13+N17+N21+N29+N33+N37+N41+N45+N49+N53+N57+N61+N65+N69+N73+N77+N81+N85+N89+N93+N97+N101+N105+N109+N113+N117+N25</f>
        <v>0</v>
      </c>
      <c r="O121" s="33">
        <f t="shared" si="64"/>
        <v>0</v>
      </c>
      <c r="P121" s="33">
        <f t="shared" si="64"/>
        <v>16000000</v>
      </c>
      <c r="Q121" s="33">
        <f t="shared" si="64"/>
        <v>0</v>
      </c>
      <c r="R121" s="33">
        <f t="shared" si="64"/>
        <v>0</v>
      </c>
      <c r="S121" s="33">
        <f t="shared" si="64"/>
        <v>0</v>
      </c>
      <c r="T121" s="33">
        <f t="shared" si="64"/>
        <v>0</v>
      </c>
      <c r="U121" s="33">
        <f t="shared" si="64"/>
        <v>0</v>
      </c>
      <c r="V121" t="e">
        <f>V13+V17+V21+V29+V33+V37+V41+V45+V49+V53+V57+V61+V65+V69+V73+V77+V81+V85+V89+V93+V97+V101+V105+V109+V113+V117+V25</f>
        <v>#REF!</v>
      </c>
    </row>
    <row r="122" spans="4:13" ht="21" customHeight="1">
      <c r="D122" s="34">
        <v>135376318939.97</v>
      </c>
      <c r="M122" s="34">
        <v>135376318939.97</v>
      </c>
    </row>
    <row r="123" spans="9:18" ht="12.75">
      <c r="I123" s="128">
        <f>I119-3967092557</f>
        <v>0</v>
      </c>
      <c r="R123" s="128">
        <f>R119-3967092557</f>
        <v>299635954</v>
      </c>
    </row>
    <row r="124" s="147" customFormat="1" ht="30.75" customHeight="1"/>
    <row r="125" s="147" customFormat="1" ht="23.25" customHeight="1"/>
  </sheetData>
  <sheetProtection selectLockedCells="1" selectUnlockedCells="1"/>
  <mergeCells count="72">
    <mergeCell ref="A2:U2"/>
    <mergeCell ref="A103:A105"/>
    <mergeCell ref="A107:A109"/>
    <mergeCell ref="A120:C120"/>
    <mergeCell ref="A121:C121"/>
    <mergeCell ref="B110:C110"/>
    <mergeCell ref="A111:A113"/>
    <mergeCell ref="B114:C114"/>
    <mergeCell ref="A115:A117"/>
    <mergeCell ref="A119:C119"/>
    <mergeCell ref="A87:A89"/>
    <mergeCell ref="B90:C90"/>
    <mergeCell ref="A118:C118"/>
    <mergeCell ref="A91:A93"/>
    <mergeCell ref="B94:C94"/>
    <mergeCell ref="A95:A97"/>
    <mergeCell ref="B98:C98"/>
    <mergeCell ref="A99:A101"/>
    <mergeCell ref="B102:C102"/>
    <mergeCell ref="B106:C106"/>
    <mergeCell ref="A75:A77"/>
    <mergeCell ref="B78:C78"/>
    <mergeCell ref="A79:A81"/>
    <mergeCell ref="B82:C82"/>
    <mergeCell ref="A83:A85"/>
    <mergeCell ref="B86:C86"/>
    <mergeCell ref="A63:A65"/>
    <mergeCell ref="B66:C66"/>
    <mergeCell ref="A67:A69"/>
    <mergeCell ref="B70:C70"/>
    <mergeCell ref="A71:A73"/>
    <mergeCell ref="B74:C74"/>
    <mergeCell ref="A51:A53"/>
    <mergeCell ref="B54:C54"/>
    <mergeCell ref="A55:A57"/>
    <mergeCell ref="B58:C58"/>
    <mergeCell ref="A59:A61"/>
    <mergeCell ref="B62:C62"/>
    <mergeCell ref="A39:A41"/>
    <mergeCell ref="B42:C42"/>
    <mergeCell ref="A43:A45"/>
    <mergeCell ref="B46:C46"/>
    <mergeCell ref="A47:A49"/>
    <mergeCell ref="B50:C50"/>
    <mergeCell ref="A27:A29"/>
    <mergeCell ref="B30:C30"/>
    <mergeCell ref="A31:A33"/>
    <mergeCell ref="B34:C34"/>
    <mergeCell ref="A35:A37"/>
    <mergeCell ref="B38:C38"/>
    <mergeCell ref="A15:A17"/>
    <mergeCell ref="B18:C18"/>
    <mergeCell ref="A19:A21"/>
    <mergeCell ref="B22:C22"/>
    <mergeCell ref="A23:A25"/>
    <mergeCell ref="B26:C26"/>
    <mergeCell ref="B10:C10"/>
    <mergeCell ref="A11:A13"/>
    <mergeCell ref="A7:A9"/>
    <mergeCell ref="B7:B9"/>
    <mergeCell ref="C7:C9"/>
    <mergeCell ref="B14:C14"/>
    <mergeCell ref="N7:U7"/>
    <mergeCell ref="N8:R8"/>
    <mergeCell ref="S8:U8"/>
    <mergeCell ref="M7:M9"/>
    <mergeCell ref="A1:U1"/>
    <mergeCell ref="A3:U3"/>
    <mergeCell ref="D7:D9"/>
    <mergeCell ref="E7:L7"/>
    <mergeCell ref="E8:I8"/>
    <mergeCell ref="J8:L8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30" r:id="rId1"/>
  <rowBreaks count="1" manualBreakCount="1">
    <brk id="89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3"/>
  <sheetViews>
    <sheetView view="pageBreakPreview" zoomScale="60" zoomScaleNormal="71" zoomScalePageLayoutView="0" workbookViewId="0" topLeftCell="A1">
      <pane ySplit="9" topLeftCell="A10" activePane="bottomLeft" state="frozen"/>
      <selection pane="topLeft" activeCell="A1" sqref="A1"/>
      <selection pane="bottomLeft" activeCell="A1" sqref="A1:W1"/>
    </sheetView>
  </sheetViews>
  <sheetFormatPr defaultColWidth="9.140625" defaultRowHeight="12.75"/>
  <cols>
    <col min="1" max="1" width="5.57421875" style="0" customWidth="1"/>
    <col min="3" max="3" width="11.8515625" style="0" customWidth="1"/>
    <col min="4" max="4" width="75.140625" style="0" customWidth="1"/>
    <col min="5" max="5" width="22.57421875" style="0" customWidth="1"/>
    <col min="6" max="6" width="14.57421875" style="0" customWidth="1"/>
    <col min="7" max="8" width="17.00390625" style="0" customWidth="1"/>
    <col min="9" max="10" width="14.57421875" style="0" customWidth="1"/>
    <col min="11" max="11" width="18.8515625" style="0" customWidth="1"/>
    <col min="12" max="13" width="14.57421875" style="0" customWidth="1"/>
    <col min="14" max="14" width="22.57421875" style="0" customWidth="1"/>
    <col min="15" max="15" width="14.57421875" style="0" customWidth="1"/>
    <col min="16" max="17" width="17.00390625" style="0" customWidth="1"/>
    <col min="18" max="19" width="14.57421875" style="0" customWidth="1"/>
    <col min="20" max="20" width="18.8515625" style="0" customWidth="1"/>
    <col min="21" max="21" width="14.57421875" style="0" customWidth="1"/>
    <col min="22" max="22" width="18.421875" style="0" customWidth="1"/>
    <col min="23" max="23" width="25.00390625" style="241" customWidth="1"/>
    <col min="26" max="26" width="17.8515625" style="0" customWidth="1"/>
  </cols>
  <sheetData>
    <row r="1" spans="1:23" ht="18">
      <c r="A1" s="347" t="s">
        <v>1560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</row>
    <row r="2" spans="1:23" ht="18">
      <c r="A2" s="426" t="s">
        <v>1534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</row>
    <row r="3" spans="1:23" ht="18" customHeight="1">
      <c r="A3" s="423" t="s">
        <v>436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</row>
    <row r="4" spans="1:23" ht="18">
      <c r="A4" s="424" t="s">
        <v>437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</row>
    <row r="5" spans="1:23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89"/>
      <c r="N5" s="3"/>
      <c r="O5" s="3"/>
      <c r="P5" s="3"/>
      <c r="Q5" s="3"/>
      <c r="R5" s="3"/>
      <c r="S5" s="3"/>
      <c r="T5" s="3"/>
      <c r="U5" s="3"/>
      <c r="V5" s="189"/>
      <c r="W5" s="314" t="s">
        <v>1</v>
      </c>
    </row>
    <row r="6" spans="1:23" ht="18" customHeight="1">
      <c r="A6" s="265" t="s">
        <v>2</v>
      </c>
      <c r="B6" s="265" t="s">
        <v>3</v>
      </c>
      <c r="C6" s="265" t="s">
        <v>4</v>
      </c>
      <c r="D6" s="265" t="s">
        <v>5</v>
      </c>
      <c r="E6" s="265" t="s">
        <v>6</v>
      </c>
      <c r="F6" s="265" t="s">
        <v>7</v>
      </c>
      <c r="G6" s="265" t="s">
        <v>8</v>
      </c>
      <c r="H6" s="265" t="s">
        <v>9</v>
      </c>
      <c r="I6" s="265" t="s">
        <v>10</v>
      </c>
      <c r="J6" s="266" t="s">
        <v>11</v>
      </c>
      <c r="K6" s="265" t="s">
        <v>12</v>
      </c>
      <c r="L6" s="267" t="s">
        <v>13</v>
      </c>
      <c r="M6" s="295" t="s">
        <v>14</v>
      </c>
      <c r="N6" s="265" t="s">
        <v>15</v>
      </c>
      <c r="O6" s="265" t="s">
        <v>16</v>
      </c>
      <c r="P6" s="265" t="s">
        <v>17</v>
      </c>
      <c r="Q6" s="265" t="s">
        <v>18</v>
      </c>
      <c r="R6" s="265" t="s">
        <v>19</v>
      </c>
      <c r="S6" s="266" t="s">
        <v>20</v>
      </c>
      <c r="T6" s="265" t="s">
        <v>21</v>
      </c>
      <c r="U6" s="267" t="s">
        <v>22</v>
      </c>
      <c r="V6" s="295" t="s">
        <v>181</v>
      </c>
      <c r="W6" s="297" t="s">
        <v>182</v>
      </c>
    </row>
    <row r="7" spans="1:23" ht="15.75" customHeight="1">
      <c r="A7" s="354" t="s">
        <v>24</v>
      </c>
      <c r="B7" s="354" t="s">
        <v>185</v>
      </c>
      <c r="C7" s="354" t="s">
        <v>354</v>
      </c>
      <c r="D7" s="355" t="s">
        <v>25</v>
      </c>
      <c r="E7" s="349" t="s">
        <v>1099</v>
      </c>
      <c r="F7" s="403" t="s">
        <v>26</v>
      </c>
      <c r="G7" s="403"/>
      <c r="H7" s="403"/>
      <c r="I7" s="403"/>
      <c r="J7" s="403"/>
      <c r="K7" s="403"/>
      <c r="L7" s="403"/>
      <c r="M7" s="404"/>
      <c r="N7" s="355" t="s">
        <v>1526</v>
      </c>
      <c r="O7" s="403" t="s">
        <v>1525</v>
      </c>
      <c r="P7" s="403"/>
      <c r="Q7" s="403"/>
      <c r="R7" s="403"/>
      <c r="S7" s="403"/>
      <c r="T7" s="403"/>
      <c r="U7" s="403"/>
      <c r="V7" s="404"/>
      <c r="W7" s="401" t="s">
        <v>1234</v>
      </c>
    </row>
    <row r="8" spans="1:23" ht="17.25" customHeight="1">
      <c r="A8" s="354"/>
      <c r="B8" s="354"/>
      <c r="C8" s="354"/>
      <c r="D8" s="355"/>
      <c r="E8" s="349"/>
      <c r="F8" s="427" t="s">
        <v>27</v>
      </c>
      <c r="G8" s="427"/>
      <c r="H8" s="427"/>
      <c r="I8" s="427"/>
      <c r="J8" s="427"/>
      <c r="K8" s="427" t="s">
        <v>28</v>
      </c>
      <c r="L8" s="427"/>
      <c r="M8" s="428"/>
      <c r="N8" s="355"/>
      <c r="O8" s="351" t="s">
        <v>27</v>
      </c>
      <c r="P8" s="351"/>
      <c r="Q8" s="351"/>
      <c r="R8" s="351"/>
      <c r="S8" s="351"/>
      <c r="T8" s="351" t="s">
        <v>28</v>
      </c>
      <c r="U8" s="351"/>
      <c r="V8" s="398"/>
      <c r="W8" s="401"/>
    </row>
    <row r="9" spans="1:23" ht="82.5" customHeight="1">
      <c r="A9" s="354"/>
      <c r="B9" s="354"/>
      <c r="C9" s="354"/>
      <c r="D9" s="355"/>
      <c r="E9" s="349"/>
      <c r="F9" s="81" t="s">
        <v>29</v>
      </c>
      <c r="G9" s="81" t="s">
        <v>30</v>
      </c>
      <c r="H9" s="81" t="s">
        <v>31</v>
      </c>
      <c r="I9" s="81" t="s">
        <v>32</v>
      </c>
      <c r="J9" s="81" t="s">
        <v>33</v>
      </c>
      <c r="K9" s="81" t="s">
        <v>34</v>
      </c>
      <c r="L9" s="81" t="s">
        <v>35</v>
      </c>
      <c r="M9" s="290" t="s">
        <v>36</v>
      </c>
      <c r="N9" s="355"/>
      <c r="O9" s="7" t="s">
        <v>29</v>
      </c>
      <c r="P9" s="7" t="s">
        <v>30</v>
      </c>
      <c r="Q9" s="7" t="s">
        <v>31</v>
      </c>
      <c r="R9" s="7" t="s">
        <v>32</v>
      </c>
      <c r="S9" s="7" t="s">
        <v>33</v>
      </c>
      <c r="T9" s="7" t="s">
        <v>34</v>
      </c>
      <c r="U9" s="7" t="s">
        <v>35</v>
      </c>
      <c r="V9" s="196" t="s">
        <v>36</v>
      </c>
      <c r="W9" s="401"/>
    </row>
    <row r="10" spans="1:23" ht="18" customHeight="1">
      <c r="A10" s="12" t="s">
        <v>77</v>
      </c>
      <c r="B10" s="12"/>
      <c r="C10" s="12"/>
      <c r="D10" s="82" t="s">
        <v>40</v>
      </c>
      <c r="E10" s="123">
        <f aca="true" t="shared" si="0" ref="E10:E41">SUM(F10:M10)</f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3">
        <v>0</v>
      </c>
      <c r="N10" s="123">
        <f aca="true" t="shared" si="1" ref="N10:N35">SUM(O10:V10)</f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3">
        <v>0</v>
      </c>
      <c r="W10" s="401"/>
    </row>
    <row r="11" spans="1:23" ht="18">
      <c r="A11" s="12" t="s">
        <v>78</v>
      </c>
      <c r="B11" s="12"/>
      <c r="C11" s="12"/>
      <c r="D11" s="82" t="s">
        <v>42</v>
      </c>
      <c r="E11" s="123">
        <f t="shared" si="0"/>
        <v>4821745020</v>
      </c>
      <c r="F11" s="120">
        <f aca="true" t="shared" si="2" ref="F11:M11">SUM(F12:F39)</f>
        <v>0</v>
      </c>
      <c r="G11" s="120">
        <f t="shared" si="2"/>
        <v>0</v>
      </c>
      <c r="H11" s="120">
        <f>SUM(H12:H39)</f>
        <v>206280354</v>
      </c>
      <c r="I11" s="120">
        <f t="shared" si="2"/>
        <v>0</v>
      </c>
      <c r="J11" s="120">
        <f>SUM(J12:J39)</f>
        <v>3518320</v>
      </c>
      <c r="K11" s="120">
        <f>SUM(K12:K39)</f>
        <v>4611946346</v>
      </c>
      <c r="L11" s="120">
        <f t="shared" si="2"/>
        <v>0</v>
      </c>
      <c r="M11" s="127">
        <f t="shared" si="2"/>
        <v>0</v>
      </c>
      <c r="N11" s="123">
        <f t="shared" si="1"/>
        <v>4821745020</v>
      </c>
      <c r="O11" s="120">
        <f aca="true" t="shared" si="3" ref="O11:V11">SUM(O12:O39)</f>
        <v>0</v>
      </c>
      <c r="P11" s="120">
        <f t="shared" si="3"/>
        <v>0</v>
      </c>
      <c r="Q11" s="120">
        <f t="shared" si="3"/>
        <v>206280354</v>
      </c>
      <c r="R11" s="120">
        <f t="shared" si="3"/>
        <v>0</v>
      </c>
      <c r="S11" s="120">
        <f t="shared" si="3"/>
        <v>3518320</v>
      </c>
      <c r="T11" s="120">
        <f t="shared" si="3"/>
        <v>4611946346</v>
      </c>
      <c r="U11" s="120">
        <f t="shared" si="3"/>
        <v>0</v>
      </c>
      <c r="V11" s="127">
        <f t="shared" si="3"/>
        <v>0</v>
      </c>
      <c r="W11" s="401"/>
    </row>
    <row r="12" spans="1:23" s="117" customFormat="1" ht="18">
      <c r="A12" s="12"/>
      <c r="B12" s="12" t="s">
        <v>438</v>
      </c>
      <c r="C12" s="12"/>
      <c r="D12" s="124" t="s">
        <v>439</v>
      </c>
      <c r="E12" s="93">
        <f t="shared" si="0"/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296">
        <v>0</v>
      </c>
      <c r="N12" s="93">
        <f t="shared" si="1"/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296">
        <v>0</v>
      </c>
      <c r="W12" s="240" t="s">
        <v>1325</v>
      </c>
    </row>
    <row r="13" spans="1:23" s="117" customFormat="1" ht="18">
      <c r="A13" s="12"/>
      <c r="B13" s="12" t="s">
        <v>440</v>
      </c>
      <c r="C13" s="12"/>
      <c r="D13" s="124" t="s">
        <v>441</v>
      </c>
      <c r="E13" s="93">
        <f t="shared" si="0"/>
        <v>0</v>
      </c>
      <c r="F13" s="94">
        <v>0</v>
      </c>
      <c r="G13" s="94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296">
        <v>0</v>
      </c>
      <c r="N13" s="93">
        <f t="shared" si="1"/>
        <v>0</v>
      </c>
      <c r="O13" s="94">
        <v>0</v>
      </c>
      <c r="P13" s="94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296">
        <v>0</v>
      </c>
      <c r="W13" s="240" t="s">
        <v>1326</v>
      </c>
    </row>
    <row r="14" spans="1:23" s="117" customFormat="1" ht="18">
      <c r="A14" s="12"/>
      <c r="B14" s="12" t="s">
        <v>442</v>
      </c>
      <c r="C14" s="12"/>
      <c r="D14" s="92" t="s">
        <v>443</v>
      </c>
      <c r="E14" s="93">
        <f t="shared" si="0"/>
        <v>20904296</v>
      </c>
      <c r="F14" s="94">
        <v>0</v>
      </c>
      <c r="G14" s="94">
        <v>0</v>
      </c>
      <c r="H14" s="125">
        <v>0</v>
      </c>
      <c r="I14" s="125">
        <v>0</v>
      </c>
      <c r="J14" s="125">
        <v>0</v>
      </c>
      <c r="K14" s="125">
        <v>20904296</v>
      </c>
      <c r="L14" s="125">
        <v>0</v>
      </c>
      <c r="M14" s="296">
        <v>0</v>
      </c>
      <c r="N14" s="93">
        <f t="shared" si="1"/>
        <v>20904296</v>
      </c>
      <c r="O14" s="94">
        <v>0</v>
      </c>
      <c r="P14" s="94">
        <v>0</v>
      </c>
      <c r="Q14" s="125">
        <v>0</v>
      </c>
      <c r="R14" s="125">
        <v>0</v>
      </c>
      <c r="S14" s="125">
        <v>0</v>
      </c>
      <c r="T14" s="125">
        <v>20904296</v>
      </c>
      <c r="U14" s="125">
        <v>0</v>
      </c>
      <c r="V14" s="296">
        <v>0</v>
      </c>
      <c r="W14" s="240" t="s">
        <v>1327</v>
      </c>
    </row>
    <row r="15" spans="1:23" s="117" customFormat="1" ht="18">
      <c r="A15" s="12"/>
      <c r="B15" s="12" t="s">
        <v>444</v>
      </c>
      <c r="C15" s="12"/>
      <c r="D15" s="92" t="s">
        <v>445</v>
      </c>
      <c r="E15" s="93">
        <f t="shared" si="0"/>
        <v>5254000</v>
      </c>
      <c r="F15" s="94">
        <v>0</v>
      </c>
      <c r="G15" s="94">
        <v>0</v>
      </c>
      <c r="H15" s="125">
        <v>254000</v>
      </c>
      <c r="I15" s="125">
        <v>0</v>
      </c>
      <c r="J15" s="125">
        <v>0</v>
      </c>
      <c r="K15" s="125">
        <v>5000000</v>
      </c>
      <c r="L15" s="125">
        <v>0</v>
      </c>
      <c r="M15" s="296">
        <v>0</v>
      </c>
      <c r="N15" s="93">
        <f t="shared" si="1"/>
        <v>5254000</v>
      </c>
      <c r="O15" s="94">
        <v>0</v>
      </c>
      <c r="P15" s="94">
        <v>0</v>
      </c>
      <c r="Q15" s="125">
        <v>254000</v>
      </c>
      <c r="R15" s="125">
        <v>0</v>
      </c>
      <c r="S15" s="125">
        <v>0</v>
      </c>
      <c r="T15" s="125">
        <v>5000000</v>
      </c>
      <c r="U15" s="125">
        <v>0</v>
      </c>
      <c r="V15" s="296">
        <v>0</v>
      </c>
      <c r="W15" s="240" t="s">
        <v>1328</v>
      </c>
    </row>
    <row r="16" spans="1:23" s="117" customFormat="1" ht="18">
      <c r="A16" s="12"/>
      <c r="B16" s="12" t="s">
        <v>446</v>
      </c>
      <c r="C16" s="12"/>
      <c r="D16" s="92" t="s">
        <v>447</v>
      </c>
      <c r="E16" s="93">
        <f t="shared" si="0"/>
        <v>100000000</v>
      </c>
      <c r="F16" s="94">
        <v>0</v>
      </c>
      <c r="G16" s="94">
        <v>0</v>
      </c>
      <c r="H16" s="125">
        <v>6814612</v>
      </c>
      <c r="I16" s="125">
        <v>0</v>
      </c>
      <c r="J16" s="125">
        <v>0</v>
      </c>
      <c r="K16" s="125">
        <v>93185388</v>
      </c>
      <c r="L16" s="125">
        <v>0</v>
      </c>
      <c r="M16" s="296">
        <v>0</v>
      </c>
      <c r="N16" s="93">
        <f t="shared" si="1"/>
        <v>100000000</v>
      </c>
      <c r="O16" s="94">
        <v>0</v>
      </c>
      <c r="P16" s="94">
        <v>0</v>
      </c>
      <c r="Q16" s="125">
        <v>6814612</v>
      </c>
      <c r="R16" s="125">
        <v>0</v>
      </c>
      <c r="S16" s="125">
        <v>0</v>
      </c>
      <c r="T16" s="125">
        <v>93185388</v>
      </c>
      <c r="U16" s="125">
        <v>0</v>
      </c>
      <c r="V16" s="296">
        <v>0</v>
      </c>
      <c r="W16" s="240" t="s">
        <v>1329</v>
      </c>
    </row>
    <row r="17" spans="1:23" s="117" customFormat="1" ht="18">
      <c r="A17" s="12"/>
      <c r="B17" s="12" t="s">
        <v>448</v>
      </c>
      <c r="C17" s="12"/>
      <c r="D17" s="19" t="s">
        <v>449</v>
      </c>
      <c r="E17" s="93">
        <f t="shared" si="0"/>
        <v>5101100</v>
      </c>
      <c r="F17" s="94">
        <v>0</v>
      </c>
      <c r="G17" s="94">
        <v>0</v>
      </c>
      <c r="H17" s="125">
        <v>101100</v>
      </c>
      <c r="I17" s="125">
        <v>0</v>
      </c>
      <c r="J17" s="125">
        <v>0</v>
      </c>
      <c r="K17" s="125">
        <v>5000000</v>
      </c>
      <c r="L17" s="125">
        <v>0</v>
      </c>
      <c r="M17" s="296">
        <v>0</v>
      </c>
      <c r="N17" s="93">
        <f t="shared" si="1"/>
        <v>5101100</v>
      </c>
      <c r="O17" s="94">
        <v>0</v>
      </c>
      <c r="P17" s="94">
        <v>0</v>
      </c>
      <c r="Q17" s="125">
        <v>101100</v>
      </c>
      <c r="R17" s="125">
        <v>0</v>
      </c>
      <c r="S17" s="125">
        <v>0</v>
      </c>
      <c r="T17" s="125">
        <v>5000000</v>
      </c>
      <c r="U17" s="125">
        <v>0</v>
      </c>
      <c r="V17" s="296">
        <v>0</v>
      </c>
      <c r="W17" s="240" t="s">
        <v>1330</v>
      </c>
    </row>
    <row r="18" spans="1:23" s="117" customFormat="1" ht="18">
      <c r="A18" s="12"/>
      <c r="B18" s="12" t="s">
        <v>450</v>
      </c>
      <c r="C18" s="12"/>
      <c r="D18" s="19" t="s">
        <v>451</v>
      </c>
      <c r="E18" s="93">
        <f t="shared" si="0"/>
        <v>50000000</v>
      </c>
      <c r="F18" s="94">
        <v>0</v>
      </c>
      <c r="G18" s="94">
        <v>0</v>
      </c>
      <c r="H18" s="125">
        <v>0</v>
      </c>
      <c r="I18" s="125">
        <v>0</v>
      </c>
      <c r="J18" s="125">
        <v>0</v>
      </c>
      <c r="K18" s="125">
        <v>50000000</v>
      </c>
      <c r="L18" s="125">
        <v>0</v>
      </c>
      <c r="M18" s="296">
        <v>0</v>
      </c>
      <c r="N18" s="93">
        <f t="shared" si="1"/>
        <v>50000000</v>
      </c>
      <c r="O18" s="94">
        <v>0</v>
      </c>
      <c r="P18" s="94">
        <v>0</v>
      </c>
      <c r="Q18" s="125">
        <v>0</v>
      </c>
      <c r="R18" s="125">
        <v>0</v>
      </c>
      <c r="S18" s="125">
        <v>0</v>
      </c>
      <c r="T18" s="125">
        <v>50000000</v>
      </c>
      <c r="U18" s="125">
        <v>0</v>
      </c>
      <c r="V18" s="296">
        <v>0</v>
      </c>
      <c r="W18" s="240" t="s">
        <v>1331</v>
      </c>
    </row>
    <row r="19" spans="1:23" s="117" customFormat="1" ht="18">
      <c r="A19" s="12"/>
      <c r="B19" s="12" t="s">
        <v>452</v>
      </c>
      <c r="C19" s="12"/>
      <c r="D19" s="19" t="s">
        <v>453</v>
      </c>
      <c r="E19" s="93">
        <f t="shared" si="0"/>
        <v>20000000</v>
      </c>
      <c r="F19" s="94">
        <v>0</v>
      </c>
      <c r="G19" s="94">
        <v>0</v>
      </c>
      <c r="H19" s="125">
        <v>0</v>
      </c>
      <c r="I19" s="125">
        <v>0</v>
      </c>
      <c r="J19" s="125">
        <v>0</v>
      </c>
      <c r="K19" s="125">
        <v>20000000</v>
      </c>
      <c r="L19" s="125">
        <v>0</v>
      </c>
      <c r="M19" s="296">
        <v>0</v>
      </c>
      <c r="N19" s="93">
        <f t="shared" si="1"/>
        <v>20000000</v>
      </c>
      <c r="O19" s="94">
        <v>0</v>
      </c>
      <c r="P19" s="94">
        <v>0</v>
      </c>
      <c r="Q19" s="125">
        <v>0</v>
      </c>
      <c r="R19" s="125">
        <v>0</v>
      </c>
      <c r="S19" s="125">
        <v>0</v>
      </c>
      <c r="T19" s="125">
        <v>20000000</v>
      </c>
      <c r="U19" s="125">
        <v>0</v>
      </c>
      <c r="V19" s="296">
        <v>0</v>
      </c>
      <c r="W19" s="240" t="s">
        <v>1332</v>
      </c>
    </row>
    <row r="20" spans="1:23" s="117" customFormat="1" ht="30">
      <c r="A20" s="12"/>
      <c r="B20" s="12" t="s">
        <v>454</v>
      </c>
      <c r="C20" s="12"/>
      <c r="D20" s="19" t="s">
        <v>898</v>
      </c>
      <c r="E20" s="93">
        <f t="shared" si="0"/>
        <v>28137318</v>
      </c>
      <c r="F20" s="94">
        <v>0</v>
      </c>
      <c r="G20" s="94">
        <v>0</v>
      </c>
      <c r="H20" s="125">
        <v>2992636</v>
      </c>
      <c r="I20" s="125">
        <v>0</v>
      </c>
      <c r="J20" s="125">
        <v>3518320</v>
      </c>
      <c r="K20" s="125">
        <v>21626362</v>
      </c>
      <c r="L20" s="125">
        <v>0</v>
      </c>
      <c r="M20" s="296">
        <v>0</v>
      </c>
      <c r="N20" s="93">
        <f t="shared" si="1"/>
        <v>28137318</v>
      </c>
      <c r="O20" s="94">
        <v>0</v>
      </c>
      <c r="P20" s="94">
        <v>0</v>
      </c>
      <c r="Q20" s="125">
        <v>2992636</v>
      </c>
      <c r="R20" s="125">
        <v>0</v>
      </c>
      <c r="S20" s="125">
        <v>3518320</v>
      </c>
      <c r="T20" s="125">
        <v>21626362</v>
      </c>
      <c r="U20" s="125">
        <v>0</v>
      </c>
      <c r="V20" s="296">
        <v>0</v>
      </c>
      <c r="W20" s="240" t="s">
        <v>1333</v>
      </c>
    </row>
    <row r="21" spans="1:23" s="117" customFormat="1" ht="30">
      <c r="A21" s="12"/>
      <c r="B21" s="12" t="s">
        <v>455</v>
      </c>
      <c r="C21" s="12"/>
      <c r="D21" s="19" t="s">
        <v>946</v>
      </c>
      <c r="E21" s="93">
        <f t="shared" si="0"/>
        <v>288052184</v>
      </c>
      <c r="F21" s="94">
        <v>0</v>
      </c>
      <c r="G21" s="94">
        <v>0</v>
      </c>
      <c r="H21" s="125">
        <v>73544624</v>
      </c>
      <c r="I21" s="125">
        <v>0</v>
      </c>
      <c r="J21" s="125">
        <v>0</v>
      </c>
      <c r="K21" s="125">
        <v>214507560</v>
      </c>
      <c r="L21" s="125">
        <v>0</v>
      </c>
      <c r="M21" s="296">
        <v>0</v>
      </c>
      <c r="N21" s="93">
        <f t="shared" si="1"/>
        <v>288052184</v>
      </c>
      <c r="O21" s="94">
        <v>0</v>
      </c>
      <c r="P21" s="94">
        <v>0</v>
      </c>
      <c r="Q21" s="125">
        <v>73544624</v>
      </c>
      <c r="R21" s="125">
        <v>0</v>
      </c>
      <c r="S21" s="125">
        <v>0</v>
      </c>
      <c r="T21" s="125">
        <v>214507560</v>
      </c>
      <c r="U21" s="125">
        <v>0</v>
      </c>
      <c r="V21" s="296">
        <v>0</v>
      </c>
      <c r="W21" s="297" t="s">
        <v>1334</v>
      </c>
    </row>
    <row r="22" spans="1:23" s="117" customFormat="1" ht="30">
      <c r="A22" s="12"/>
      <c r="B22" s="12" t="s">
        <v>456</v>
      </c>
      <c r="C22" s="12"/>
      <c r="D22" s="19" t="s">
        <v>1095</v>
      </c>
      <c r="E22" s="93">
        <f t="shared" si="0"/>
        <v>617693571</v>
      </c>
      <c r="F22" s="94">
        <v>0</v>
      </c>
      <c r="G22" s="94">
        <v>0</v>
      </c>
      <c r="H22" s="125">
        <v>0</v>
      </c>
      <c r="I22" s="125">
        <v>0</v>
      </c>
      <c r="J22" s="125">
        <v>0</v>
      </c>
      <c r="K22" s="125">
        <v>617693571</v>
      </c>
      <c r="L22" s="125">
        <v>0</v>
      </c>
      <c r="M22" s="296">
        <v>0</v>
      </c>
      <c r="N22" s="93">
        <f t="shared" si="1"/>
        <v>617693571</v>
      </c>
      <c r="O22" s="94">
        <v>0</v>
      </c>
      <c r="P22" s="94">
        <v>0</v>
      </c>
      <c r="Q22" s="125">
        <v>0</v>
      </c>
      <c r="R22" s="125">
        <v>0</v>
      </c>
      <c r="S22" s="125">
        <v>0</v>
      </c>
      <c r="T22" s="125">
        <v>617693571</v>
      </c>
      <c r="U22" s="125">
        <v>0</v>
      </c>
      <c r="V22" s="296">
        <v>0</v>
      </c>
      <c r="W22" s="297" t="s">
        <v>1335</v>
      </c>
    </row>
    <row r="23" spans="1:23" s="117" customFormat="1" ht="18">
      <c r="A23" s="12"/>
      <c r="B23" s="12" t="s">
        <v>457</v>
      </c>
      <c r="C23" s="12"/>
      <c r="D23" s="19" t="s">
        <v>1132</v>
      </c>
      <c r="E23" s="93">
        <f t="shared" si="0"/>
        <v>20000000</v>
      </c>
      <c r="F23" s="94"/>
      <c r="G23" s="94"/>
      <c r="H23" s="125">
        <v>0</v>
      </c>
      <c r="I23" s="125">
        <v>0</v>
      </c>
      <c r="J23" s="125">
        <v>0</v>
      </c>
      <c r="K23" s="125">
        <v>20000000</v>
      </c>
      <c r="L23" s="125">
        <v>0</v>
      </c>
      <c r="M23" s="296">
        <v>0</v>
      </c>
      <c r="N23" s="93">
        <f t="shared" si="1"/>
        <v>20000000</v>
      </c>
      <c r="O23" s="94"/>
      <c r="P23" s="94"/>
      <c r="Q23" s="125">
        <v>0</v>
      </c>
      <c r="R23" s="125">
        <v>0</v>
      </c>
      <c r="S23" s="125">
        <v>0</v>
      </c>
      <c r="T23" s="125">
        <v>20000000</v>
      </c>
      <c r="U23" s="125">
        <v>0</v>
      </c>
      <c r="V23" s="296">
        <v>0</v>
      </c>
      <c r="W23" s="297">
        <v>53512</v>
      </c>
    </row>
    <row r="24" spans="1:23" s="117" customFormat="1" ht="18">
      <c r="A24" s="12"/>
      <c r="B24" s="12" t="s">
        <v>459</v>
      </c>
      <c r="C24" s="12"/>
      <c r="D24" s="19" t="s">
        <v>458</v>
      </c>
      <c r="E24" s="93">
        <f t="shared" si="0"/>
        <v>10000000</v>
      </c>
      <c r="F24" s="94">
        <v>0</v>
      </c>
      <c r="G24" s="94">
        <v>0</v>
      </c>
      <c r="H24" s="125">
        <v>0</v>
      </c>
      <c r="I24" s="125">
        <v>0</v>
      </c>
      <c r="J24" s="125">
        <v>0</v>
      </c>
      <c r="K24" s="125">
        <v>10000000</v>
      </c>
      <c r="L24" s="125">
        <v>0</v>
      </c>
      <c r="M24" s="296">
        <v>0</v>
      </c>
      <c r="N24" s="93">
        <f t="shared" si="1"/>
        <v>10000000</v>
      </c>
      <c r="O24" s="94">
        <v>0</v>
      </c>
      <c r="P24" s="94">
        <v>0</v>
      </c>
      <c r="Q24" s="125">
        <v>0</v>
      </c>
      <c r="R24" s="125">
        <v>0</v>
      </c>
      <c r="S24" s="125">
        <v>0</v>
      </c>
      <c r="T24" s="125">
        <v>10000000</v>
      </c>
      <c r="U24" s="125">
        <v>0</v>
      </c>
      <c r="V24" s="296">
        <v>0</v>
      </c>
      <c r="W24" s="297" t="s">
        <v>1336</v>
      </c>
    </row>
    <row r="25" spans="1:23" s="117" customFormat="1" ht="18">
      <c r="A25" s="12"/>
      <c r="B25" s="12" t="s">
        <v>460</v>
      </c>
      <c r="C25" s="12"/>
      <c r="D25" s="19" t="s">
        <v>1133</v>
      </c>
      <c r="E25" s="93">
        <f t="shared" si="0"/>
        <v>5000000</v>
      </c>
      <c r="F25" s="94">
        <v>0</v>
      </c>
      <c r="G25" s="94">
        <v>0</v>
      </c>
      <c r="H25" s="125">
        <v>0</v>
      </c>
      <c r="I25" s="125">
        <v>0</v>
      </c>
      <c r="J25" s="125">
        <v>0</v>
      </c>
      <c r="K25" s="125">
        <v>5000000</v>
      </c>
      <c r="L25" s="125">
        <v>0</v>
      </c>
      <c r="M25" s="296">
        <v>0</v>
      </c>
      <c r="N25" s="93">
        <f t="shared" si="1"/>
        <v>5000000</v>
      </c>
      <c r="O25" s="94">
        <v>0</v>
      </c>
      <c r="P25" s="94">
        <v>0</v>
      </c>
      <c r="Q25" s="125">
        <v>0</v>
      </c>
      <c r="R25" s="125">
        <v>0</v>
      </c>
      <c r="S25" s="125">
        <v>0</v>
      </c>
      <c r="T25" s="125">
        <v>5000000</v>
      </c>
      <c r="U25" s="125">
        <v>0</v>
      </c>
      <c r="V25" s="296">
        <v>0</v>
      </c>
      <c r="W25" s="297">
        <v>53514</v>
      </c>
    </row>
    <row r="26" spans="1:23" s="117" customFormat="1" ht="18">
      <c r="A26" s="12"/>
      <c r="B26" s="12" t="s">
        <v>461</v>
      </c>
      <c r="C26" s="12"/>
      <c r="D26" s="19" t="s">
        <v>465</v>
      </c>
      <c r="E26" s="93">
        <f t="shared" si="0"/>
        <v>110063040</v>
      </c>
      <c r="F26" s="94">
        <v>0</v>
      </c>
      <c r="G26" s="94">
        <v>0</v>
      </c>
      <c r="H26" s="125">
        <v>11078996</v>
      </c>
      <c r="I26" s="125">
        <v>0</v>
      </c>
      <c r="J26" s="125">
        <v>0</v>
      </c>
      <c r="K26" s="125">
        <v>98984044</v>
      </c>
      <c r="L26" s="125">
        <v>0</v>
      </c>
      <c r="M26" s="296">
        <v>0</v>
      </c>
      <c r="N26" s="93">
        <f t="shared" si="1"/>
        <v>110063040</v>
      </c>
      <c r="O26" s="94">
        <v>0</v>
      </c>
      <c r="P26" s="94">
        <v>0</v>
      </c>
      <c r="Q26" s="125">
        <v>11078996</v>
      </c>
      <c r="R26" s="125">
        <v>0</v>
      </c>
      <c r="S26" s="125">
        <v>0</v>
      </c>
      <c r="T26" s="125">
        <v>98984044</v>
      </c>
      <c r="U26" s="125">
        <v>0</v>
      </c>
      <c r="V26" s="296">
        <v>0</v>
      </c>
      <c r="W26" s="297" t="s">
        <v>1337</v>
      </c>
    </row>
    <row r="27" spans="1:23" s="117" customFormat="1" ht="30">
      <c r="A27" s="12"/>
      <c r="B27" s="12" t="s">
        <v>462</v>
      </c>
      <c r="C27" s="12"/>
      <c r="D27" s="19" t="s">
        <v>899</v>
      </c>
      <c r="E27" s="93">
        <f t="shared" si="0"/>
        <v>0</v>
      </c>
      <c r="F27" s="94">
        <v>0</v>
      </c>
      <c r="G27" s="94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296">
        <v>0</v>
      </c>
      <c r="N27" s="93">
        <f t="shared" si="1"/>
        <v>0</v>
      </c>
      <c r="O27" s="94">
        <v>0</v>
      </c>
      <c r="P27" s="94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296">
        <v>0</v>
      </c>
      <c r="W27" s="297" t="s">
        <v>1338</v>
      </c>
    </row>
    <row r="28" spans="1:23" s="117" customFormat="1" ht="30">
      <c r="A28" s="12"/>
      <c r="B28" s="12" t="s">
        <v>464</v>
      </c>
      <c r="C28" s="12"/>
      <c r="D28" s="19" t="s">
        <v>469</v>
      </c>
      <c r="E28" s="93">
        <f t="shared" si="0"/>
        <v>246734952</v>
      </c>
      <c r="F28" s="94">
        <v>0</v>
      </c>
      <c r="G28" s="94">
        <v>0</v>
      </c>
      <c r="H28" s="125">
        <v>2347722</v>
      </c>
      <c r="I28" s="125">
        <v>0</v>
      </c>
      <c r="J28" s="125">
        <v>0</v>
      </c>
      <c r="K28" s="125">
        <v>244387230</v>
      </c>
      <c r="L28" s="125">
        <v>0</v>
      </c>
      <c r="M28" s="296">
        <v>0</v>
      </c>
      <c r="N28" s="93">
        <f t="shared" si="1"/>
        <v>246734952</v>
      </c>
      <c r="O28" s="94">
        <v>0</v>
      </c>
      <c r="P28" s="94">
        <v>0</v>
      </c>
      <c r="Q28" s="125">
        <v>2347722</v>
      </c>
      <c r="R28" s="125">
        <v>0</v>
      </c>
      <c r="S28" s="125">
        <v>0</v>
      </c>
      <c r="T28" s="125">
        <v>244387230</v>
      </c>
      <c r="U28" s="125">
        <v>0</v>
      </c>
      <c r="V28" s="296">
        <v>0</v>
      </c>
      <c r="W28" s="297" t="s">
        <v>1339</v>
      </c>
    </row>
    <row r="29" spans="1:23" s="117" customFormat="1" ht="18">
      <c r="A29" s="12"/>
      <c r="B29" s="12" t="s">
        <v>466</v>
      </c>
      <c r="C29" s="12"/>
      <c r="D29" s="19" t="s">
        <v>1186</v>
      </c>
      <c r="E29" s="93">
        <f t="shared" si="0"/>
        <v>25000000</v>
      </c>
      <c r="F29" s="94">
        <v>0</v>
      </c>
      <c r="G29" s="94">
        <v>0</v>
      </c>
      <c r="H29" s="125">
        <v>25000000</v>
      </c>
      <c r="I29" s="125">
        <v>0</v>
      </c>
      <c r="J29" s="125">
        <v>0</v>
      </c>
      <c r="K29" s="125">
        <v>0</v>
      </c>
      <c r="L29" s="125">
        <v>0</v>
      </c>
      <c r="M29" s="296">
        <v>0</v>
      </c>
      <c r="N29" s="93">
        <f t="shared" si="1"/>
        <v>25000000</v>
      </c>
      <c r="O29" s="94">
        <v>0</v>
      </c>
      <c r="P29" s="94">
        <v>0</v>
      </c>
      <c r="Q29" s="125">
        <v>25000000</v>
      </c>
      <c r="R29" s="125">
        <v>0</v>
      </c>
      <c r="S29" s="125">
        <v>0</v>
      </c>
      <c r="T29" s="125">
        <v>0</v>
      </c>
      <c r="U29" s="125">
        <v>0</v>
      </c>
      <c r="V29" s="296">
        <v>0</v>
      </c>
      <c r="W29" s="297">
        <v>53518</v>
      </c>
    </row>
    <row r="30" spans="1:23" s="117" customFormat="1" ht="30">
      <c r="A30" s="12"/>
      <c r="B30" s="12" t="s">
        <v>467</v>
      </c>
      <c r="C30" s="12"/>
      <c r="D30" s="19" t="s">
        <v>472</v>
      </c>
      <c r="E30" s="93">
        <f t="shared" si="0"/>
        <v>273280693</v>
      </c>
      <c r="F30" s="94">
        <v>0</v>
      </c>
      <c r="G30" s="94">
        <v>0</v>
      </c>
      <c r="H30" s="125">
        <v>7506208</v>
      </c>
      <c r="I30" s="125">
        <v>0</v>
      </c>
      <c r="J30" s="125">
        <v>0</v>
      </c>
      <c r="K30" s="125">
        <v>265774485</v>
      </c>
      <c r="L30" s="125">
        <v>0</v>
      </c>
      <c r="M30" s="296">
        <v>0</v>
      </c>
      <c r="N30" s="93">
        <f t="shared" si="1"/>
        <v>273280693</v>
      </c>
      <c r="O30" s="94">
        <v>0</v>
      </c>
      <c r="P30" s="94">
        <v>0</v>
      </c>
      <c r="Q30" s="125">
        <v>7506208</v>
      </c>
      <c r="R30" s="125">
        <v>0</v>
      </c>
      <c r="S30" s="125">
        <v>0</v>
      </c>
      <c r="T30" s="125">
        <v>265774485</v>
      </c>
      <c r="U30" s="125">
        <v>0</v>
      </c>
      <c r="V30" s="296">
        <v>0</v>
      </c>
      <c r="W30" s="297" t="s">
        <v>1340</v>
      </c>
    </row>
    <row r="31" spans="1:23" s="117" customFormat="1" ht="30">
      <c r="A31" s="12"/>
      <c r="B31" s="12" t="s">
        <v>468</v>
      </c>
      <c r="C31" s="12"/>
      <c r="D31" s="19" t="s">
        <v>947</v>
      </c>
      <c r="E31" s="93">
        <f t="shared" si="0"/>
        <v>519860391</v>
      </c>
      <c r="F31" s="94">
        <v>0</v>
      </c>
      <c r="G31" s="94">
        <v>0</v>
      </c>
      <c r="H31" s="125">
        <v>12008866</v>
      </c>
      <c r="I31" s="125">
        <v>0</v>
      </c>
      <c r="J31" s="125">
        <v>0</v>
      </c>
      <c r="K31" s="125">
        <v>507851525</v>
      </c>
      <c r="L31" s="125">
        <v>0</v>
      </c>
      <c r="M31" s="296">
        <v>0</v>
      </c>
      <c r="N31" s="93">
        <f t="shared" si="1"/>
        <v>519860391</v>
      </c>
      <c r="O31" s="94">
        <v>0</v>
      </c>
      <c r="P31" s="94">
        <v>0</v>
      </c>
      <c r="Q31" s="125">
        <v>12008866</v>
      </c>
      <c r="R31" s="125">
        <v>0</v>
      </c>
      <c r="S31" s="125">
        <v>0</v>
      </c>
      <c r="T31" s="125">
        <v>507851525</v>
      </c>
      <c r="U31" s="125">
        <v>0</v>
      </c>
      <c r="V31" s="296">
        <v>0</v>
      </c>
      <c r="W31" s="240" t="s">
        <v>1341</v>
      </c>
    </row>
    <row r="32" spans="1:23" s="117" customFormat="1" ht="30">
      <c r="A32" s="12"/>
      <c r="B32" s="12" t="s">
        <v>470</v>
      </c>
      <c r="C32" s="12"/>
      <c r="D32" s="19" t="s">
        <v>846</v>
      </c>
      <c r="E32" s="93">
        <f t="shared" si="0"/>
        <v>469986000</v>
      </c>
      <c r="F32" s="94">
        <v>0</v>
      </c>
      <c r="G32" s="94">
        <v>0</v>
      </c>
      <c r="H32" s="125">
        <v>6948170</v>
      </c>
      <c r="I32" s="125">
        <v>0</v>
      </c>
      <c r="J32" s="125">
        <v>0</v>
      </c>
      <c r="K32" s="125">
        <v>463037830</v>
      </c>
      <c r="L32" s="125">
        <v>0</v>
      </c>
      <c r="M32" s="296">
        <v>0</v>
      </c>
      <c r="N32" s="93">
        <f t="shared" si="1"/>
        <v>469986000</v>
      </c>
      <c r="O32" s="94">
        <v>0</v>
      </c>
      <c r="P32" s="94">
        <v>0</v>
      </c>
      <c r="Q32" s="125">
        <v>6948170</v>
      </c>
      <c r="R32" s="125">
        <v>0</v>
      </c>
      <c r="S32" s="125">
        <v>0</v>
      </c>
      <c r="T32" s="125">
        <v>463037830</v>
      </c>
      <c r="U32" s="125">
        <v>0</v>
      </c>
      <c r="V32" s="296">
        <v>0</v>
      </c>
      <c r="W32" s="240" t="s">
        <v>1342</v>
      </c>
    </row>
    <row r="33" spans="1:23" s="117" customFormat="1" ht="30">
      <c r="A33" s="12"/>
      <c r="B33" s="12" t="s">
        <v>471</v>
      </c>
      <c r="C33" s="12"/>
      <c r="D33" s="19" t="s">
        <v>847</v>
      </c>
      <c r="E33" s="93">
        <f t="shared" si="0"/>
        <v>34000000</v>
      </c>
      <c r="F33" s="94">
        <v>0</v>
      </c>
      <c r="G33" s="94">
        <v>0</v>
      </c>
      <c r="H33" s="125">
        <v>937133</v>
      </c>
      <c r="I33" s="125">
        <v>0</v>
      </c>
      <c r="J33" s="125">
        <v>0</v>
      </c>
      <c r="K33" s="125">
        <v>33062867</v>
      </c>
      <c r="L33" s="125"/>
      <c r="M33" s="296">
        <v>0</v>
      </c>
      <c r="N33" s="93">
        <f t="shared" si="1"/>
        <v>34000000</v>
      </c>
      <c r="O33" s="94">
        <v>0</v>
      </c>
      <c r="P33" s="94">
        <v>0</v>
      </c>
      <c r="Q33" s="125">
        <v>937133</v>
      </c>
      <c r="R33" s="125">
        <v>0</v>
      </c>
      <c r="S33" s="125">
        <v>0</v>
      </c>
      <c r="T33" s="125">
        <v>33062867</v>
      </c>
      <c r="U33" s="125"/>
      <c r="V33" s="296">
        <v>0</v>
      </c>
      <c r="W33" s="240" t="s">
        <v>1343</v>
      </c>
    </row>
    <row r="34" spans="1:23" s="117" customFormat="1" ht="30">
      <c r="A34" s="12"/>
      <c r="B34" s="12" t="s">
        <v>473</v>
      </c>
      <c r="C34" s="12"/>
      <c r="D34" s="19" t="s">
        <v>845</v>
      </c>
      <c r="E34" s="93">
        <f t="shared" si="0"/>
        <v>411000000</v>
      </c>
      <c r="F34" s="94">
        <v>0</v>
      </c>
      <c r="G34" s="94">
        <v>0</v>
      </c>
      <c r="H34" s="125">
        <v>6080122</v>
      </c>
      <c r="I34" s="125">
        <v>0</v>
      </c>
      <c r="J34" s="125">
        <v>0</v>
      </c>
      <c r="K34" s="125">
        <v>404919878</v>
      </c>
      <c r="L34" s="125">
        <v>0</v>
      </c>
      <c r="M34" s="296">
        <v>0</v>
      </c>
      <c r="N34" s="93">
        <f t="shared" si="1"/>
        <v>411000000</v>
      </c>
      <c r="O34" s="94">
        <v>0</v>
      </c>
      <c r="P34" s="94">
        <v>0</v>
      </c>
      <c r="Q34" s="125">
        <v>6080122</v>
      </c>
      <c r="R34" s="125">
        <v>0</v>
      </c>
      <c r="S34" s="125">
        <v>0</v>
      </c>
      <c r="T34" s="125">
        <v>404919878</v>
      </c>
      <c r="U34" s="125">
        <v>0</v>
      </c>
      <c r="V34" s="296">
        <v>0</v>
      </c>
      <c r="W34" s="240" t="s">
        <v>1344</v>
      </c>
    </row>
    <row r="35" spans="1:23" s="117" customFormat="1" ht="18">
      <c r="A35" s="12"/>
      <c r="B35" s="12" t="s">
        <v>474</v>
      </c>
      <c r="C35" s="12"/>
      <c r="D35" s="19" t="s">
        <v>882</v>
      </c>
      <c r="E35" s="93">
        <f t="shared" si="0"/>
        <v>20000000</v>
      </c>
      <c r="F35" s="94">
        <v>0</v>
      </c>
      <c r="G35" s="94">
        <v>0</v>
      </c>
      <c r="H35" s="125">
        <v>0</v>
      </c>
      <c r="I35" s="125">
        <v>0</v>
      </c>
      <c r="J35" s="125">
        <v>0</v>
      </c>
      <c r="K35" s="125">
        <v>20000000</v>
      </c>
      <c r="L35" s="125">
        <v>0</v>
      </c>
      <c r="M35" s="296">
        <v>0</v>
      </c>
      <c r="N35" s="93">
        <f t="shared" si="1"/>
        <v>20000000</v>
      </c>
      <c r="O35" s="94">
        <v>0</v>
      </c>
      <c r="P35" s="94">
        <v>0</v>
      </c>
      <c r="Q35" s="125">
        <v>0</v>
      </c>
      <c r="R35" s="125">
        <v>0</v>
      </c>
      <c r="S35" s="125">
        <v>0</v>
      </c>
      <c r="T35" s="125">
        <v>20000000</v>
      </c>
      <c r="U35" s="125">
        <v>0</v>
      </c>
      <c r="V35" s="296">
        <v>0</v>
      </c>
      <c r="W35" s="240" t="s">
        <v>1345</v>
      </c>
    </row>
    <row r="36" spans="1:23" s="117" customFormat="1" ht="30">
      <c r="A36" s="12"/>
      <c r="B36" s="12" t="s">
        <v>475</v>
      </c>
      <c r="C36" s="12"/>
      <c r="D36" s="226" t="s">
        <v>1174</v>
      </c>
      <c r="E36" s="93">
        <f>SUM(F36:M36)</f>
        <v>30238700</v>
      </c>
      <c r="F36" s="94">
        <v>0</v>
      </c>
      <c r="G36" s="94">
        <v>0</v>
      </c>
      <c r="H36" s="125">
        <v>0</v>
      </c>
      <c r="I36" s="125">
        <v>0</v>
      </c>
      <c r="J36" s="125">
        <v>0</v>
      </c>
      <c r="K36" s="125">
        <v>30238700</v>
      </c>
      <c r="L36" s="125">
        <v>0</v>
      </c>
      <c r="M36" s="296">
        <v>0</v>
      </c>
      <c r="N36" s="93">
        <f aca="true" t="shared" si="4" ref="N36:N41">SUM(O36:V36)</f>
        <v>30238700</v>
      </c>
      <c r="O36" s="94">
        <v>0</v>
      </c>
      <c r="P36" s="94">
        <v>0</v>
      </c>
      <c r="Q36" s="125">
        <v>0</v>
      </c>
      <c r="R36" s="125">
        <v>0</v>
      </c>
      <c r="S36" s="125">
        <v>0</v>
      </c>
      <c r="T36" s="125">
        <v>30238700</v>
      </c>
      <c r="U36" s="125">
        <v>0</v>
      </c>
      <c r="V36" s="296">
        <v>0</v>
      </c>
      <c r="W36" s="240" t="s">
        <v>1346</v>
      </c>
    </row>
    <row r="37" spans="1:23" s="117" customFormat="1" ht="18">
      <c r="A37" s="12"/>
      <c r="B37" s="12" t="s">
        <v>811</v>
      </c>
      <c r="C37" s="12"/>
      <c r="D37" s="19" t="s">
        <v>476</v>
      </c>
      <c r="E37" s="93">
        <f t="shared" si="0"/>
        <v>926935524</v>
      </c>
      <c r="F37" s="94">
        <v>0</v>
      </c>
      <c r="G37" s="94">
        <v>0</v>
      </c>
      <c r="H37" s="125">
        <v>40860306</v>
      </c>
      <c r="I37" s="125">
        <v>0</v>
      </c>
      <c r="J37" s="125">
        <v>0</v>
      </c>
      <c r="K37" s="125">
        <v>886075218</v>
      </c>
      <c r="L37" s="125">
        <v>0</v>
      </c>
      <c r="M37" s="296">
        <v>0</v>
      </c>
      <c r="N37" s="93">
        <f t="shared" si="4"/>
        <v>926935524</v>
      </c>
      <c r="O37" s="94">
        <v>0</v>
      </c>
      <c r="P37" s="94">
        <v>0</v>
      </c>
      <c r="Q37" s="125">
        <v>40860306</v>
      </c>
      <c r="R37" s="125">
        <v>0</v>
      </c>
      <c r="S37" s="125">
        <v>0</v>
      </c>
      <c r="T37" s="125">
        <v>886075218</v>
      </c>
      <c r="U37" s="125">
        <v>0</v>
      </c>
      <c r="V37" s="296">
        <v>0</v>
      </c>
      <c r="W37" s="298" t="s">
        <v>1347</v>
      </c>
    </row>
    <row r="38" spans="1:23" s="117" customFormat="1" ht="33" customHeight="1">
      <c r="A38" s="12"/>
      <c r="B38" s="12" t="s">
        <v>812</v>
      </c>
      <c r="C38" s="12"/>
      <c r="D38" s="19" t="s">
        <v>888</v>
      </c>
      <c r="E38" s="93">
        <f t="shared" si="0"/>
        <v>500000000</v>
      </c>
      <c r="F38" s="94">
        <v>0</v>
      </c>
      <c r="G38" s="94">
        <v>0</v>
      </c>
      <c r="H38" s="125">
        <v>0</v>
      </c>
      <c r="I38" s="125">
        <v>0</v>
      </c>
      <c r="J38" s="125">
        <v>0</v>
      </c>
      <c r="K38" s="125">
        <v>500000000</v>
      </c>
      <c r="L38" s="125">
        <v>0</v>
      </c>
      <c r="M38" s="296">
        <v>0</v>
      </c>
      <c r="N38" s="93">
        <f t="shared" si="4"/>
        <v>500000000</v>
      </c>
      <c r="O38" s="94">
        <v>0</v>
      </c>
      <c r="P38" s="94">
        <v>0</v>
      </c>
      <c r="Q38" s="125">
        <v>0</v>
      </c>
      <c r="R38" s="125">
        <v>0</v>
      </c>
      <c r="S38" s="125">
        <v>0</v>
      </c>
      <c r="T38" s="125">
        <v>500000000</v>
      </c>
      <c r="U38" s="125">
        <v>0</v>
      </c>
      <c r="V38" s="296">
        <v>0</v>
      </c>
      <c r="W38" s="240" t="s">
        <v>1348</v>
      </c>
    </row>
    <row r="39" spans="1:26" s="117" customFormat="1" ht="33" customHeight="1">
      <c r="A39" s="12"/>
      <c r="B39" s="12" t="s">
        <v>813</v>
      </c>
      <c r="C39" s="12"/>
      <c r="D39" s="19" t="s">
        <v>883</v>
      </c>
      <c r="E39" s="93">
        <f t="shared" si="0"/>
        <v>84503251</v>
      </c>
      <c r="F39" s="94">
        <v>0</v>
      </c>
      <c r="G39" s="94">
        <v>0</v>
      </c>
      <c r="H39" s="125">
        <v>9805859</v>
      </c>
      <c r="I39" s="125">
        <v>0</v>
      </c>
      <c r="J39" s="125">
        <v>0</v>
      </c>
      <c r="K39" s="125">
        <v>74697392</v>
      </c>
      <c r="L39" s="125">
        <v>0</v>
      </c>
      <c r="M39" s="296">
        <v>0</v>
      </c>
      <c r="N39" s="93">
        <f t="shared" si="4"/>
        <v>84503251</v>
      </c>
      <c r="O39" s="94">
        <v>0</v>
      </c>
      <c r="P39" s="94">
        <v>0</v>
      </c>
      <c r="Q39" s="125">
        <v>9805859</v>
      </c>
      <c r="R39" s="125">
        <v>0</v>
      </c>
      <c r="S39" s="125">
        <v>0</v>
      </c>
      <c r="T39" s="125">
        <v>74697392</v>
      </c>
      <c r="U39" s="125">
        <v>0</v>
      </c>
      <c r="V39" s="296">
        <v>0</v>
      </c>
      <c r="W39" s="240" t="s">
        <v>1349</v>
      </c>
      <c r="Z39" s="34"/>
    </row>
    <row r="40" spans="1:23" ht="18">
      <c r="A40" s="12" t="s">
        <v>79</v>
      </c>
      <c r="B40" s="12"/>
      <c r="C40" s="12"/>
      <c r="D40" s="82" t="s">
        <v>44</v>
      </c>
      <c r="E40" s="93">
        <f t="shared" si="0"/>
        <v>0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7">
        <v>0</v>
      </c>
      <c r="M40" s="123">
        <v>0</v>
      </c>
      <c r="N40" s="93">
        <f t="shared" si="4"/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27">
        <v>0</v>
      </c>
      <c r="V40" s="123">
        <v>0</v>
      </c>
      <c r="W40" s="240"/>
    </row>
    <row r="41" spans="1:23" ht="28.5" customHeight="1">
      <c r="A41" s="402" t="s">
        <v>315</v>
      </c>
      <c r="B41" s="402"/>
      <c r="C41" s="402"/>
      <c r="D41" s="402"/>
      <c r="E41" s="24">
        <f t="shared" si="0"/>
        <v>4821745020</v>
      </c>
      <c r="F41" s="120"/>
      <c r="G41" s="120">
        <f aca="true" t="shared" si="5" ref="G41:M41">G10+G11+G40</f>
        <v>0</v>
      </c>
      <c r="H41" s="120">
        <f t="shared" si="5"/>
        <v>206280354</v>
      </c>
      <c r="I41" s="120">
        <f t="shared" si="5"/>
        <v>0</v>
      </c>
      <c r="J41" s="120">
        <f t="shared" si="5"/>
        <v>3518320</v>
      </c>
      <c r="K41" s="120">
        <f t="shared" si="5"/>
        <v>4611946346</v>
      </c>
      <c r="L41" s="127">
        <f t="shared" si="5"/>
        <v>0</v>
      </c>
      <c r="M41" s="127">
        <f t="shared" si="5"/>
        <v>0</v>
      </c>
      <c r="N41" s="24">
        <f t="shared" si="4"/>
        <v>4821745020</v>
      </c>
      <c r="O41" s="120"/>
      <c r="P41" s="120">
        <f aca="true" t="shared" si="6" ref="P41:V41">P10+P11+P40</f>
        <v>0</v>
      </c>
      <c r="Q41" s="120">
        <f t="shared" si="6"/>
        <v>206280354</v>
      </c>
      <c r="R41" s="120">
        <f t="shared" si="6"/>
        <v>0</v>
      </c>
      <c r="S41" s="120">
        <f t="shared" si="6"/>
        <v>3518320</v>
      </c>
      <c r="T41" s="120">
        <f t="shared" si="6"/>
        <v>4611946346</v>
      </c>
      <c r="U41" s="127">
        <f t="shared" si="6"/>
        <v>0</v>
      </c>
      <c r="V41" s="127">
        <f t="shared" si="6"/>
        <v>0</v>
      </c>
      <c r="W41" s="240"/>
    </row>
    <row r="42" spans="5:14" ht="15">
      <c r="E42" s="209">
        <f>E41-E20-E21-E22-E23-E25-E27-E28-E29-E30-E31-E32</f>
        <v>2327999911</v>
      </c>
      <c r="N42" s="209">
        <f>N41-N20-N21-N22-N23-N25-N27-N28-N29-N30-N31-N32</f>
        <v>2327999911</v>
      </c>
    </row>
    <row r="43" spans="5:14" ht="15">
      <c r="E43" s="202"/>
      <c r="N43" s="202"/>
    </row>
  </sheetData>
  <sheetProtection selectLockedCells="1" selectUnlockedCells="1"/>
  <mergeCells count="18">
    <mergeCell ref="A41:D41"/>
    <mergeCell ref="F7:M7"/>
    <mergeCell ref="F8:J8"/>
    <mergeCell ref="K8:M8"/>
    <mergeCell ref="B7:B9"/>
    <mergeCell ref="D7:D9"/>
    <mergeCell ref="A7:A9"/>
    <mergeCell ref="E7:E9"/>
    <mergeCell ref="A4:W4"/>
    <mergeCell ref="C7:C9"/>
    <mergeCell ref="W7:W11"/>
    <mergeCell ref="A1:W1"/>
    <mergeCell ref="N7:N9"/>
    <mergeCell ref="O7:V7"/>
    <mergeCell ref="O8:S8"/>
    <mergeCell ref="T8:V8"/>
    <mergeCell ref="A2:W2"/>
    <mergeCell ref="A3:W3"/>
  </mergeCells>
  <printOptions horizontalCentered="1" verticalCentered="1"/>
  <pageMargins left="0.2362204724409449" right="0.2362204724409449" top="0.5511811023622047" bottom="0.15748031496062992" header="0.5118110236220472" footer="0.5118110236220472"/>
  <pageSetup fitToHeight="1" fitToWidth="1" horizontalDpi="300" verticalDpi="300" orientation="landscape" paperSize="8" scale="3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4"/>
  <sheetViews>
    <sheetView view="pageBreakPreview" zoomScale="75" zoomScaleNormal="75" zoomScaleSheetLayoutView="75" zoomScalePageLayoutView="0" workbookViewId="0" topLeftCell="A1">
      <selection activeCell="A1" sqref="A1:V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7.57421875" style="0" customWidth="1"/>
    <col min="4" max="4" width="20.00390625" style="0" customWidth="1"/>
    <col min="5" max="5" width="14.57421875" style="0" customWidth="1"/>
    <col min="6" max="6" width="16.57421875" style="0" customWidth="1"/>
    <col min="7" max="7" width="15.7109375" style="0" customWidth="1"/>
    <col min="8" max="12" width="14.57421875" style="0" customWidth="1"/>
    <col min="13" max="13" width="20.00390625" style="0" customWidth="1"/>
    <col min="14" max="14" width="14.57421875" style="0" customWidth="1"/>
    <col min="15" max="15" width="16.57421875" style="0" customWidth="1"/>
    <col min="16" max="16" width="15.7109375" style="0" customWidth="1"/>
    <col min="17" max="21" width="14.57421875" style="0" customWidth="1"/>
    <col min="22" max="22" width="16.140625" style="0" customWidth="1"/>
  </cols>
  <sheetData>
    <row r="1" spans="1:22" ht="18">
      <c r="A1" s="347" t="s">
        <v>1561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18">
      <c r="A2" s="358" t="s">
        <v>1535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22" ht="18" customHeight="1">
      <c r="A3" s="423" t="s">
        <v>477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ht="18">
      <c r="A4" s="424" t="s">
        <v>478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3"/>
      <c r="N5" s="3"/>
      <c r="O5" s="3"/>
      <c r="P5" s="3"/>
      <c r="Q5" s="3"/>
      <c r="R5" s="3"/>
      <c r="S5" s="3"/>
      <c r="T5" s="3"/>
      <c r="V5" s="189" t="s">
        <v>1</v>
      </c>
    </row>
    <row r="6" spans="1:23" ht="18" customHeight="1">
      <c r="A6" s="265" t="s">
        <v>2</v>
      </c>
      <c r="B6" s="265" t="s">
        <v>3</v>
      </c>
      <c r="C6" s="265" t="s">
        <v>4</v>
      </c>
      <c r="D6" s="265" t="s">
        <v>5</v>
      </c>
      <c r="E6" s="265" t="s">
        <v>6</v>
      </c>
      <c r="F6" s="265" t="s">
        <v>7</v>
      </c>
      <c r="G6" s="265" t="s">
        <v>8</v>
      </c>
      <c r="H6" s="265" t="s">
        <v>9</v>
      </c>
      <c r="I6" s="265" t="s">
        <v>10</v>
      </c>
      <c r="J6" s="266" t="s">
        <v>11</v>
      </c>
      <c r="K6" s="265" t="s">
        <v>12</v>
      </c>
      <c r="L6" s="267" t="s">
        <v>13</v>
      </c>
      <c r="M6" s="295" t="s">
        <v>14</v>
      </c>
      <c r="N6" s="265" t="s">
        <v>15</v>
      </c>
      <c r="O6" s="265" t="s">
        <v>16</v>
      </c>
      <c r="P6" s="265" t="s">
        <v>17</v>
      </c>
      <c r="Q6" s="265" t="s">
        <v>18</v>
      </c>
      <c r="R6" s="265" t="s">
        <v>19</v>
      </c>
      <c r="S6" s="266" t="s">
        <v>20</v>
      </c>
      <c r="T6" s="265" t="s">
        <v>21</v>
      </c>
      <c r="U6" s="267" t="s">
        <v>22</v>
      </c>
      <c r="V6" s="295" t="s">
        <v>181</v>
      </c>
      <c r="W6" s="244"/>
    </row>
    <row r="7" spans="1:22" ht="12.75" customHeight="1">
      <c r="A7" s="354" t="s">
        <v>24</v>
      </c>
      <c r="B7" s="354" t="s">
        <v>185</v>
      </c>
      <c r="C7" s="355" t="s">
        <v>25</v>
      </c>
      <c r="D7" s="355" t="s">
        <v>1099</v>
      </c>
      <c r="E7" s="403" t="s">
        <v>26</v>
      </c>
      <c r="F7" s="403"/>
      <c r="G7" s="403"/>
      <c r="H7" s="403"/>
      <c r="I7" s="403"/>
      <c r="J7" s="403"/>
      <c r="K7" s="403"/>
      <c r="L7" s="404"/>
      <c r="M7" s="355" t="s">
        <v>1526</v>
      </c>
      <c r="N7" s="403" t="s">
        <v>1525</v>
      </c>
      <c r="O7" s="403"/>
      <c r="P7" s="403"/>
      <c r="Q7" s="403"/>
      <c r="R7" s="403"/>
      <c r="S7" s="403"/>
      <c r="T7" s="403"/>
      <c r="U7" s="404"/>
      <c r="V7" s="429" t="s">
        <v>1234</v>
      </c>
    </row>
    <row r="8" spans="1:22" ht="12.75" customHeight="1">
      <c r="A8" s="354"/>
      <c r="B8" s="354"/>
      <c r="C8" s="355"/>
      <c r="D8" s="355"/>
      <c r="E8" s="351" t="s">
        <v>27</v>
      </c>
      <c r="F8" s="351"/>
      <c r="G8" s="351"/>
      <c r="H8" s="351"/>
      <c r="I8" s="351"/>
      <c r="J8" s="351" t="s">
        <v>28</v>
      </c>
      <c r="K8" s="351"/>
      <c r="L8" s="398"/>
      <c r="M8" s="355"/>
      <c r="N8" s="351" t="s">
        <v>27</v>
      </c>
      <c r="O8" s="351"/>
      <c r="P8" s="351"/>
      <c r="Q8" s="351"/>
      <c r="R8" s="351"/>
      <c r="S8" s="351" t="s">
        <v>28</v>
      </c>
      <c r="T8" s="351"/>
      <c r="U8" s="398"/>
      <c r="V8" s="430"/>
    </row>
    <row r="9" spans="1:22" ht="75" customHeight="1">
      <c r="A9" s="354"/>
      <c r="B9" s="354"/>
      <c r="C9" s="355"/>
      <c r="D9" s="35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196" t="s">
        <v>36</v>
      </c>
      <c r="M9" s="35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196" t="s">
        <v>36</v>
      </c>
      <c r="V9" s="430"/>
    </row>
    <row r="10" spans="1:22" s="129" customFormat="1" ht="18">
      <c r="A10" s="118" t="s">
        <v>87</v>
      </c>
      <c r="B10" s="118"/>
      <c r="C10" s="119" t="s">
        <v>40</v>
      </c>
      <c r="D10" s="24">
        <f>SUM(E10:L10)</f>
        <v>93834144</v>
      </c>
      <c r="E10" s="120">
        <f aca="true" t="shared" si="0" ref="E10:L10">SUM(E11:E17)</f>
        <v>0</v>
      </c>
      <c r="F10" s="120">
        <f t="shared" si="0"/>
        <v>0</v>
      </c>
      <c r="G10" s="120">
        <f t="shared" si="0"/>
        <v>17900000</v>
      </c>
      <c r="H10" s="120">
        <f t="shared" si="0"/>
        <v>684144</v>
      </c>
      <c r="I10" s="120">
        <f>SUM(I11:I17)</f>
        <v>75250000</v>
      </c>
      <c r="J10" s="120">
        <f t="shared" si="0"/>
        <v>0</v>
      </c>
      <c r="K10" s="120">
        <f t="shared" si="0"/>
        <v>0</v>
      </c>
      <c r="L10" s="127">
        <f t="shared" si="0"/>
        <v>0</v>
      </c>
      <c r="M10" s="24">
        <f>SUM(N10:U10)</f>
        <v>93834144</v>
      </c>
      <c r="N10" s="120">
        <f aca="true" t="shared" si="1" ref="N10:U10">SUM(N11:N17)</f>
        <v>0</v>
      </c>
      <c r="O10" s="120">
        <f t="shared" si="1"/>
        <v>0</v>
      </c>
      <c r="P10" s="120">
        <f t="shared" si="1"/>
        <v>17900000</v>
      </c>
      <c r="Q10" s="120">
        <f t="shared" si="1"/>
        <v>684144</v>
      </c>
      <c r="R10" s="120">
        <f t="shared" si="1"/>
        <v>75250000</v>
      </c>
      <c r="S10" s="120">
        <f t="shared" si="1"/>
        <v>0</v>
      </c>
      <c r="T10" s="120">
        <f t="shared" si="1"/>
        <v>0</v>
      </c>
      <c r="U10" s="127">
        <f t="shared" si="1"/>
        <v>0</v>
      </c>
      <c r="V10" s="431"/>
    </row>
    <row r="11" spans="1:22" ht="30">
      <c r="A11" s="12"/>
      <c r="B11" s="12" t="s">
        <v>479</v>
      </c>
      <c r="C11" s="19" t="s">
        <v>1101</v>
      </c>
      <c r="D11" s="93">
        <f aca="true" t="shared" si="2" ref="D11:D21">SUM(E11:L11)</f>
        <v>684144</v>
      </c>
      <c r="E11" s="94">
        <v>0</v>
      </c>
      <c r="F11" s="94">
        <v>0</v>
      </c>
      <c r="G11" s="94">
        <v>0</v>
      </c>
      <c r="H11" s="94">
        <v>684144</v>
      </c>
      <c r="I11" s="94">
        <v>0</v>
      </c>
      <c r="J11" s="94">
        <v>0</v>
      </c>
      <c r="K11" s="94">
        <v>0</v>
      </c>
      <c r="L11" s="197">
        <v>0</v>
      </c>
      <c r="M11" s="93">
        <f>SUM(N11:U11)</f>
        <v>684144</v>
      </c>
      <c r="N11" s="94">
        <v>0</v>
      </c>
      <c r="O11" s="94">
        <v>0</v>
      </c>
      <c r="P11" s="94">
        <v>0</v>
      </c>
      <c r="Q11" s="94">
        <v>684144</v>
      </c>
      <c r="R11" s="94">
        <v>0</v>
      </c>
      <c r="S11" s="94">
        <v>0</v>
      </c>
      <c r="T11" s="94">
        <v>0</v>
      </c>
      <c r="U11" s="197">
        <v>0</v>
      </c>
      <c r="V11" s="254" t="s">
        <v>1350</v>
      </c>
    </row>
    <row r="12" spans="1:22" ht="30">
      <c r="A12" s="12"/>
      <c r="B12" s="12" t="s">
        <v>480</v>
      </c>
      <c r="C12" s="19" t="s">
        <v>481</v>
      </c>
      <c r="D12" s="93">
        <f t="shared" si="2"/>
        <v>17900000</v>
      </c>
      <c r="E12" s="94">
        <v>0</v>
      </c>
      <c r="F12" s="94">
        <v>0</v>
      </c>
      <c r="G12" s="94">
        <v>17900000</v>
      </c>
      <c r="H12" s="94">
        <v>0</v>
      </c>
      <c r="I12" s="94">
        <v>0</v>
      </c>
      <c r="J12" s="94">
        <v>0</v>
      </c>
      <c r="K12" s="94">
        <v>0</v>
      </c>
      <c r="L12" s="197">
        <v>0</v>
      </c>
      <c r="M12" s="93">
        <f>SUM(N12:U12)</f>
        <v>17900000</v>
      </c>
      <c r="N12" s="94">
        <v>0</v>
      </c>
      <c r="O12" s="94">
        <v>0</v>
      </c>
      <c r="P12" s="94">
        <v>17900000</v>
      </c>
      <c r="Q12" s="94">
        <v>0</v>
      </c>
      <c r="R12" s="94">
        <v>0</v>
      </c>
      <c r="S12" s="94">
        <v>0</v>
      </c>
      <c r="T12" s="94">
        <v>0</v>
      </c>
      <c r="U12" s="197">
        <v>0</v>
      </c>
      <c r="V12" s="254" t="s">
        <v>1351</v>
      </c>
    </row>
    <row r="13" spans="1:22" ht="60">
      <c r="A13" s="12"/>
      <c r="B13" s="12" t="s">
        <v>482</v>
      </c>
      <c r="C13" s="19" t="s">
        <v>1108</v>
      </c>
      <c r="D13" s="93">
        <f>SUM(E13:L13)</f>
        <v>45000000</v>
      </c>
      <c r="E13" s="94">
        <v>0</v>
      </c>
      <c r="F13" s="94">
        <v>0</v>
      </c>
      <c r="G13" s="94">
        <v>0</v>
      </c>
      <c r="H13" s="94"/>
      <c r="I13" s="94">
        <v>45000000</v>
      </c>
      <c r="J13" s="94">
        <v>0</v>
      </c>
      <c r="K13" s="94">
        <v>0</v>
      </c>
      <c r="L13" s="197">
        <v>0</v>
      </c>
      <c r="M13" s="93">
        <f>SUM(N13:U13)</f>
        <v>45000000</v>
      </c>
      <c r="N13" s="94">
        <v>0</v>
      </c>
      <c r="O13" s="94">
        <v>0</v>
      </c>
      <c r="P13" s="94">
        <v>0</v>
      </c>
      <c r="Q13" s="94"/>
      <c r="R13" s="94">
        <v>45000000</v>
      </c>
      <c r="S13" s="94">
        <v>0</v>
      </c>
      <c r="T13" s="94">
        <v>0</v>
      </c>
      <c r="U13" s="197">
        <v>0</v>
      </c>
      <c r="V13" s="254" t="s">
        <v>1352</v>
      </c>
    </row>
    <row r="14" spans="1:22" ht="75">
      <c r="A14" s="12"/>
      <c r="B14" s="12" t="s">
        <v>483</v>
      </c>
      <c r="C14" s="19" t="s">
        <v>1102</v>
      </c>
      <c r="D14" s="93">
        <f t="shared" si="2"/>
        <v>10000000</v>
      </c>
      <c r="E14" s="94">
        <v>0</v>
      </c>
      <c r="F14" s="94">
        <v>0</v>
      </c>
      <c r="G14" s="94">
        <v>0</v>
      </c>
      <c r="H14" s="94"/>
      <c r="I14" s="94">
        <v>10000000</v>
      </c>
      <c r="J14" s="94">
        <v>0</v>
      </c>
      <c r="K14" s="94">
        <v>0</v>
      </c>
      <c r="L14" s="197">
        <v>0</v>
      </c>
      <c r="M14" s="93">
        <f aca="true" t="shared" si="3" ref="M14:M21">SUM(N14:U14)</f>
        <v>10000000</v>
      </c>
      <c r="N14" s="94">
        <v>0</v>
      </c>
      <c r="O14" s="94">
        <v>0</v>
      </c>
      <c r="P14" s="94">
        <v>0</v>
      </c>
      <c r="Q14" s="94"/>
      <c r="R14" s="94">
        <v>10000000</v>
      </c>
      <c r="S14" s="94">
        <v>0</v>
      </c>
      <c r="T14" s="94">
        <v>0</v>
      </c>
      <c r="U14" s="197">
        <v>0</v>
      </c>
      <c r="V14" s="254" t="s">
        <v>1353</v>
      </c>
    </row>
    <row r="15" spans="1:22" ht="45">
      <c r="A15" s="12"/>
      <c r="B15" s="12" t="s">
        <v>484</v>
      </c>
      <c r="C15" s="19" t="s">
        <v>1103</v>
      </c>
      <c r="D15" s="93">
        <f t="shared" si="2"/>
        <v>20150000</v>
      </c>
      <c r="E15" s="94">
        <v>0</v>
      </c>
      <c r="F15" s="94">
        <v>0</v>
      </c>
      <c r="G15" s="94">
        <v>0</v>
      </c>
      <c r="H15" s="94">
        <v>0</v>
      </c>
      <c r="I15" s="94">
        <f>17900000+2250000</f>
        <v>20150000</v>
      </c>
      <c r="J15" s="94">
        <v>0</v>
      </c>
      <c r="K15" s="94">
        <v>0</v>
      </c>
      <c r="L15" s="197">
        <v>0</v>
      </c>
      <c r="M15" s="93">
        <f t="shared" si="3"/>
        <v>20150000</v>
      </c>
      <c r="N15" s="94">
        <v>0</v>
      </c>
      <c r="O15" s="94">
        <v>0</v>
      </c>
      <c r="P15" s="94">
        <v>0</v>
      </c>
      <c r="Q15" s="94">
        <v>0</v>
      </c>
      <c r="R15" s="94">
        <f>17900000+2250000</f>
        <v>20150000</v>
      </c>
      <c r="S15" s="94">
        <v>0</v>
      </c>
      <c r="T15" s="94">
        <v>0</v>
      </c>
      <c r="U15" s="197">
        <v>0</v>
      </c>
      <c r="V15" s="302">
        <v>54318</v>
      </c>
    </row>
    <row r="16" spans="1:22" ht="18">
      <c r="A16" s="12"/>
      <c r="B16" s="12" t="s">
        <v>485</v>
      </c>
      <c r="C16" s="19" t="s">
        <v>825</v>
      </c>
      <c r="D16" s="93">
        <f t="shared" si="2"/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97">
        <v>0</v>
      </c>
      <c r="M16" s="93">
        <f t="shared" si="3"/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197">
        <v>0</v>
      </c>
      <c r="V16" s="254" t="s">
        <v>1354</v>
      </c>
    </row>
    <row r="17" spans="1:22" ht="18">
      <c r="A17" s="12"/>
      <c r="B17" s="12" t="s">
        <v>1109</v>
      </c>
      <c r="C17" s="19" t="s">
        <v>1104</v>
      </c>
      <c r="D17" s="93">
        <f t="shared" si="2"/>
        <v>100000</v>
      </c>
      <c r="E17" s="94">
        <v>0</v>
      </c>
      <c r="F17" s="94">
        <v>0</v>
      </c>
      <c r="G17" s="94">
        <v>0</v>
      </c>
      <c r="H17" s="94">
        <v>0</v>
      </c>
      <c r="I17" s="94">
        <v>100000</v>
      </c>
      <c r="J17" s="94">
        <v>0</v>
      </c>
      <c r="K17" s="94">
        <v>0</v>
      </c>
      <c r="L17" s="197">
        <v>0</v>
      </c>
      <c r="M17" s="93">
        <f t="shared" si="3"/>
        <v>100000</v>
      </c>
      <c r="N17" s="94">
        <v>0</v>
      </c>
      <c r="O17" s="94">
        <v>0</v>
      </c>
      <c r="P17" s="94">
        <v>0</v>
      </c>
      <c r="Q17" s="94">
        <v>0</v>
      </c>
      <c r="R17" s="94">
        <v>100000</v>
      </c>
      <c r="S17" s="94">
        <v>0</v>
      </c>
      <c r="T17" s="94">
        <v>0</v>
      </c>
      <c r="U17" s="197">
        <v>0</v>
      </c>
      <c r="V17" s="254" t="s">
        <v>1355</v>
      </c>
    </row>
    <row r="18" spans="1:22" s="129" customFormat="1" ht="18">
      <c r="A18" s="118" t="s">
        <v>88</v>
      </c>
      <c r="B18" s="118"/>
      <c r="C18" s="119" t="s">
        <v>42</v>
      </c>
      <c r="D18" s="24">
        <f t="shared" si="2"/>
        <v>1000000</v>
      </c>
      <c r="E18" s="120">
        <f aca="true" t="shared" si="4" ref="E18:U18">SUM(E19:E19)</f>
        <v>0</v>
      </c>
      <c r="F18" s="120">
        <f t="shared" si="4"/>
        <v>0</v>
      </c>
      <c r="G18" s="120">
        <f t="shared" si="4"/>
        <v>0</v>
      </c>
      <c r="H18" s="120">
        <f t="shared" si="4"/>
        <v>0</v>
      </c>
      <c r="I18" s="120">
        <f t="shared" si="4"/>
        <v>1000000</v>
      </c>
      <c r="J18" s="120">
        <f t="shared" si="4"/>
        <v>0</v>
      </c>
      <c r="K18" s="120">
        <f t="shared" si="4"/>
        <v>0</v>
      </c>
      <c r="L18" s="127">
        <f t="shared" si="4"/>
        <v>0</v>
      </c>
      <c r="M18" s="24">
        <f t="shared" si="3"/>
        <v>1000000</v>
      </c>
      <c r="N18" s="120">
        <f t="shared" si="4"/>
        <v>0</v>
      </c>
      <c r="O18" s="120">
        <f t="shared" si="4"/>
        <v>0</v>
      </c>
      <c r="P18" s="120">
        <f t="shared" si="4"/>
        <v>0</v>
      </c>
      <c r="Q18" s="120">
        <f t="shared" si="4"/>
        <v>0</v>
      </c>
      <c r="R18" s="120">
        <f t="shared" si="4"/>
        <v>1000000</v>
      </c>
      <c r="S18" s="120">
        <f t="shared" si="4"/>
        <v>0</v>
      </c>
      <c r="T18" s="120">
        <f t="shared" si="4"/>
        <v>0</v>
      </c>
      <c r="U18" s="127">
        <f t="shared" si="4"/>
        <v>0</v>
      </c>
      <c r="V18" s="254"/>
    </row>
    <row r="19" spans="1:22" ht="75">
      <c r="A19" s="12"/>
      <c r="B19" s="12" t="s">
        <v>486</v>
      </c>
      <c r="C19" s="19" t="s">
        <v>1228</v>
      </c>
      <c r="D19" s="93">
        <f t="shared" si="2"/>
        <v>1000000</v>
      </c>
      <c r="E19" s="94">
        <v>0</v>
      </c>
      <c r="F19" s="94">
        <v>0</v>
      </c>
      <c r="G19" s="94">
        <v>0</v>
      </c>
      <c r="H19" s="94">
        <v>0</v>
      </c>
      <c r="I19" s="94">
        <v>1000000</v>
      </c>
      <c r="J19" s="94">
        <v>0</v>
      </c>
      <c r="K19" s="94">
        <v>0</v>
      </c>
      <c r="L19" s="197">
        <v>0</v>
      </c>
      <c r="M19" s="93">
        <f t="shared" si="3"/>
        <v>1000000</v>
      </c>
      <c r="N19" s="94">
        <v>0</v>
      </c>
      <c r="O19" s="94">
        <v>0</v>
      </c>
      <c r="P19" s="94">
        <v>0</v>
      </c>
      <c r="Q19" s="94">
        <v>0</v>
      </c>
      <c r="R19" s="94">
        <v>1000000</v>
      </c>
      <c r="S19" s="94">
        <v>0</v>
      </c>
      <c r="T19" s="94">
        <v>0</v>
      </c>
      <c r="U19" s="197">
        <v>0</v>
      </c>
      <c r="V19" s="254">
        <v>54317</v>
      </c>
    </row>
    <row r="20" spans="1:22" s="129" customFormat="1" ht="18">
      <c r="A20" s="118" t="s">
        <v>89</v>
      </c>
      <c r="B20" s="118"/>
      <c r="C20" s="119" t="s">
        <v>44</v>
      </c>
      <c r="D20" s="24">
        <f t="shared" si="2"/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3">
        <v>0</v>
      </c>
      <c r="M20" s="24">
        <f t="shared" si="3"/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3">
        <v>0</v>
      </c>
      <c r="V20" s="240"/>
    </row>
    <row r="21" spans="1:22" ht="30.75" customHeight="1">
      <c r="A21" s="402" t="s">
        <v>315</v>
      </c>
      <c r="B21" s="402"/>
      <c r="C21" s="402"/>
      <c r="D21" s="24">
        <f t="shared" si="2"/>
        <v>94834144</v>
      </c>
      <c r="E21" s="120">
        <f aca="true" t="shared" si="5" ref="E21:L21">E10+E18+E20</f>
        <v>0</v>
      </c>
      <c r="F21" s="120">
        <f t="shared" si="5"/>
        <v>0</v>
      </c>
      <c r="G21" s="120">
        <f t="shared" si="5"/>
        <v>17900000</v>
      </c>
      <c r="H21" s="120">
        <f t="shared" si="5"/>
        <v>684144</v>
      </c>
      <c r="I21" s="120">
        <f t="shared" si="5"/>
        <v>76250000</v>
      </c>
      <c r="J21" s="120">
        <f t="shared" si="5"/>
        <v>0</v>
      </c>
      <c r="K21" s="120">
        <f t="shared" si="5"/>
        <v>0</v>
      </c>
      <c r="L21" s="127">
        <f t="shared" si="5"/>
        <v>0</v>
      </c>
      <c r="M21" s="24">
        <f t="shared" si="3"/>
        <v>94834144</v>
      </c>
      <c r="N21" s="120">
        <f aca="true" t="shared" si="6" ref="N21:U21">N10+N18+N20</f>
        <v>0</v>
      </c>
      <c r="O21" s="120">
        <f t="shared" si="6"/>
        <v>0</v>
      </c>
      <c r="P21" s="120">
        <f t="shared" si="6"/>
        <v>17900000</v>
      </c>
      <c r="Q21" s="120">
        <f t="shared" si="6"/>
        <v>684144</v>
      </c>
      <c r="R21" s="120">
        <f t="shared" si="6"/>
        <v>76250000</v>
      </c>
      <c r="S21" s="120">
        <f t="shared" si="6"/>
        <v>0</v>
      </c>
      <c r="T21" s="120">
        <f t="shared" si="6"/>
        <v>0</v>
      </c>
      <c r="U21" s="127">
        <f t="shared" si="6"/>
        <v>0</v>
      </c>
      <c r="V21" s="240"/>
    </row>
    <row r="23" spans="11:21" ht="12.75">
      <c r="K23" s="32"/>
      <c r="L23" s="32"/>
      <c r="T23" s="32"/>
      <c r="U23" s="32"/>
    </row>
    <row r="24" spans="11:21" ht="12.75">
      <c r="K24" s="32"/>
      <c r="L24" s="32" t="s">
        <v>487</v>
      </c>
      <c r="T24" s="32"/>
      <c r="U24" s="32" t="s">
        <v>487</v>
      </c>
    </row>
  </sheetData>
  <sheetProtection selectLockedCells="1" selectUnlockedCells="1"/>
  <mergeCells count="17">
    <mergeCell ref="A1:V1"/>
    <mergeCell ref="V7:V10"/>
    <mergeCell ref="A21:C21"/>
    <mergeCell ref="E8:I8"/>
    <mergeCell ref="J8:L8"/>
    <mergeCell ref="A7:A9"/>
    <mergeCell ref="B7:B9"/>
    <mergeCell ref="A2:V2"/>
    <mergeCell ref="M7:M9"/>
    <mergeCell ref="N7:U7"/>
    <mergeCell ref="N8:R8"/>
    <mergeCell ref="S8:U8"/>
    <mergeCell ref="A3:V3"/>
    <mergeCell ref="A4:V4"/>
    <mergeCell ref="C7:C9"/>
    <mergeCell ref="D7:D9"/>
    <mergeCell ref="E7:L7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2"/>
  <sheetViews>
    <sheetView view="pageBreakPreview" zoomScale="60" zoomScaleNormal="71" zoomScalePageLayoutView="0" workbookViewId="0" topLeftCell="A1">
      <selection activeCell="A1" sqref="A1:V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57421875" style="0" customWidth="1"/>
    <col min="4" max="4" width="17.140625" style="0" customWidth="1"/>
    <col min="5" max="5" width="14.57421875" style="0" customWidth="1"/>
    <col min="6" max="6" width="16.140625" style="0" customWidth="1"/>
    <col min="7" max="12" width="14.57421875" style="0" customWidth="1"/>
    <col min="13" max="13" width="17.140625" style="0" customWidth="1"/>
    <col min="14" max="14" width="14.57421875" style="0" customWidth="1"/>
    <col min="15" max="15" width="16.140625" style="0" customWidth="1"/>
    <col min="16" max="21" width="14.57421875" style="0" customWidth="1"/>
    <col min="22" max="22" width="16.28125" style="203" customWidth="1"/>
  </cols>
  <sheetData>
    <row r="1" spans="1:22" ht="18">
      <c r="A1" s="347" t="s">
        <v>1562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18">
      <c r="A2" s="358" t="s">
        <v>1536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22" ht="18" customHeight="1">
      <c r="A3" s="423" t="s">
        <v>488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ht="18">
      <c r="A4" s="424" t="s">
        <v>489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3"/>
      <c r="N5" s="3"/>
      <c r="O5" s="3"/>
      <c r="P5" s="3"/>
      <c r="Q5" s="3"/>
      <c r="R5" s="3"/>
      <c r="S5" s="3"/>
      <c r="T5" s="3"/>
      <c r="V5" s="188" t="s">
        <v>1</v>
      </c>
    </row>
    <row r="6" spans="1:23" ht="15" customHeight="1">
      <c r="A6" s="265" t="s">
        <v>2</v>
      </c>
      <c r="B6" s="265" t="s">
        <v>3</v>
      </c>
      <c r="C6" s="265" t="s">
        <v>4</v>
      </c>
      <c r="D6" s="265" t="s">
        <v>5</v>
      </c>
      <c r="E6" s="265" t="s">
        <v>6</v>
      </c>
      <c r="F6" s="265" t="s">
        <v>7</v>
      </c>
      <c r="G6" s="265" t="s">
        <v>8</v>
      </c>
      <c r="H6" s="265" t="s">
        <v>9</v>
      </c>
      <c r="I6" s="265" t="s">
        <v>10</v>
      </c>
      <c r="J6" s="266" t="s">
        <v>11</v>
      </c>
      <c r="K6" s="265" t="s">
        <v>12</v>
      </c>
      <c r="L6" s="267" t="s">
        <v>13</v>
      </c>
      <c r="M6" s="295" t="s">
        <v>14</v>
      </c>
      <c r="N6" s="265" t="s">
        <v>15</v>
      </c>
      <c r="O6" s="265" t="s">
        <v>16</v>
      </c>
      <c r="P6" s="265" t="s">
        <v>17</v>
      </c>
      <c r="Q6" s="265" t="s">
        <v>18</v>
      </c>
      <c r="R6" s="265" t="s">
        <v>19</v>
      </c>
      <c r="S6" s="266" t="s">
        <v>20</v>
      </c>
      <c r="T6" s="265" t="s">
        <v>21</v>
      </c>
      <c r="U6" s="267" t="s">
        <v>22</v>
      </c>
      <c r="V6" s="295" t="s">
        <v>181</v>
      </c>
      <c r="W6" s="244"/>
    </row>
    <row r="7" spans="1:22" ht="12.75" customHeight="1">
      <c r="A7" s="354" t="s">
        <v>24</v>
      </c>
      <c r="B7" s="354" t="s">
        <v>185</v>
      </c>
      <c r="C7" s="355" t="s">
        <v>25</v>
      </c>
      <c r="D7" s="355" t="s">
        <v>1099</v>
      </c>
      <c r="E7" s="403" t="s">
        <v>26</v>
      </c>
      <c r="F7" s="403"/>
      <c r="G7" s="403"/>
      <c r="H7" s="403"/>
      <c r="I7" s="403"/>
      <c r="J7" s="403"/>
      <c r="K7" s="403"/>
      <c r="L7" s="432"/>
      <c r="M7" s="355" t="s">
        <v>1526</v>
      </c>
      <c r="N7" s="403" t="s">
        <v>1525</v>
      </c>
      <c r="O7" s="403"/>
      <c r="P7" s="403"/>
      <c r="Q7" s="403"/>
      <c r="R7" s="403"/>
      <c r="S7" s="403"/>
      <c r="T7" s="403"/>
      <c r="U7" s="404"/>
      <c r="V7" s="345" t="s">
        <v>1234</v>
      </c>
    </row>
    <row r="8" spans="1:22" ht="12.75" customHeight="1">
      <c r="A8" s="354"/>
      <c r="B8" s="354"/>
      <c r="C8" s="355"/>
      <c r="D8" s="355"/>
      <c r="E8" s="351" t="s">
        <v>27</v>
      </c>
      <c r="F8" s="351"/>
      <c r="G8" s="351"/>
      <c r="H8" s="351"/>
      <c r="I8" s="351"/>
      <c r="J8" s="351" t="s">
        <v>28</v>
      </c>
      <c r="K8" s="351"/>
      <c r="L8" s="398"/>
      <c r="M8" s="355"/>
      <c r="N8" s="351" t="s">
        <v>27</v>
      </c>
      <c r="O8" s="351"/>
      <c r="P8" s="351"/>
      <c r="Q8" s="351"/>
      <c r="R8" s="351"/>
      <c r="S8" s="351" t="s">
        <v>28</v>
      </c>
      <c r="T8" s="351"/>
      <c r="U8" s="398"/>
      <c r="V8" s="345"/>
    </row>
    <row r="9" spans="1:22" ht="87" customHeight="1">
      <c r="A9" s="354"/>
      <c r="B9" s="354"/>
      <c r="C9" s="355"/>
      <c r="D9" s="35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196" t="s">
        <v>36</v>
      </c>
      <c r="M9" s="35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196" t="s">
        <v>36</v>
      </c>
      <c r="V9" s="345"/>
    </row>
    <row r="10" spans="1:22" s="129" customFormat="1" ht="18">
      <c r="A10" s="118" t="s">
        <v>92</v>
      </c>
      <c r="B10" s="118"/>
      <c r="C10" s="119" t="s">
        <v>40</v>
      </c>
      <c r="D10" s="24">
        <f aca="true" t="shared" si="0" ref="D10:D19">SUM(E10:L10)</f>
        <v>44500000</v>
      </c>
      <c r="E10" s="120">
        <f aca="true" t="shared" si="1" ref="E10:L10">SUM(E11:E13)</f>
        <v>0</v>
      </c>
      <c r="F10" s="120">
        <f t="shared" si="1"/>
        <v>0</v>
      </c>
      <c r="G10" s="120">
        <f t="shared" si="1"/>
        <v>3500000</v>
      </c>
      <c r="H10" s="120">
        <f t="shared" si="1"/>
        <v>0</v>
      </c>
      <c r="I10" s="120">
        <f t="shared" si="1"/>
        <v>41000000</v>
      </c>
      <c r="J10" s="120">
        <f t="shared" si="1"/>
        <v>0</v>
      </c>
      <c r="K10" s="120">
        <f t="shared" si="1"/>
        <v>0</v>
      </c>
      <c r="L10" s="127">
        <f t="shared" si="1"/>
        <v>0</v>
      </c>
      <c r="M10" s="24">
        <f aca="true" t="shared" si="2" ref="M10:M16">SUM(N10:U10)</f>
        <v>44500000</v>
      </c>
      <c r="N10" s="120">
        <f aca="true" t="shared" si="3" ref="N10:U10">SUM(N11:N13)</f>
        <v>0</v>
      </c>
      <c r="O10" s="120">
        <f t="shared" si="3"/>
        <v>0</v>
      </c>
      <c r="P10" s="120">
        <f t="shared" si="3"/>
        <v>3500000</v>
      </c>
      <c r="Q10" s="120">
        <f t="shared" si="3"/>
        <v>0</v>
      </c>
      <c r="R10" s="120">
        <f t="shared" si="3"/>
        <v>41000000</v>
      </c>
      <c r="S10" s="120">
        <f t="shared" si="3"/>
        <v>0</v>
      </c>
      <c r="T10" s="120">
        <f t="shared" si="3"/>
        <v>0</v>
      </c>
      <c r="U10" s="127">
        <f t="shared" si="3"/>
        <v>0</v>
      </c>
      <c r="V10" s="345"/>
    </row>
    <row r="11" spans="1:22" ht="60">
      <c r="A11" s="12"/>
      <c r="B11" s="12" t="s">
        <v>490</v>
      </c>
      <c r="C11" s="19" t="s">
        <v>1105</v>
      </c>
      <c r="D11" s="93">
        <f t="shared" si="0"/>
        <v>41000000</v>
      </c>
      <c r="E11" s="94">
        <v>0</v>
      </c>
      <c r="F11" s="94">
        <v>0</v>
      </c>
      <c r="G11" s="94">
        <v>0</v>
      </c>
      <c r="H11" s="94">
        <v>0</v>
      </c>
      <c r="I11" s="94">
        <v>41000000</v>
      </c>
      <c r="J11" s="94">
        <v>0</v>
      </c>
      <c r="K11" s="94">
        <v>0</v>
      </c>
      <c r="L11" s="197">
        <v>0</v>
      </c>
      <c r="M11" s="93">
        <f t="shared" si="2"/>
        <v>41000000</v>
      </c>
      <c r="N11" s="94">
        <v>0</v>
      </c>
      <c r="O11" s="94">
        <v>0</v>
      </c>
      <c r="P11" s="94">
        <v>0</v>
      </c>
      <c r="Q11" s="94">
        <v>0</v>
      </c>
      <c r="R11" s="94">
        <v>41000000</v>
      </c>
      <c r="S11" s="94">
        <v>0</v>
      </c>
      <c r="T11" s="94">
        <v>0</v>
      </c>
      <c r="U11" s="197">
        <v>0</v>
      </c>
      <c r="V11" s="254" t="s">
        <v>1356</v>
      </c>
    </row>
    <row r="12" spans="1:22" ht="105">
      <c r="A12" s="12"/>
      <c r="B12" s="12" t="s">
        <v>918</v>
      </c>
      <c r="C12" s="19" t="s">
        <v>1106</v>
      </c>
      <c r="D12" s="93">
        <f t="shared" si="0"/>
        <v>500000</v>
      </c>
      <c r="E12" s="94">
        <v>0</v>
      </c>
      <c r="F12" s="94">
        <v>0</v>
      </c>
      <c r="G12" s="94">
        <v>500000</v>
      </c>
      <c r="H12" s="94">
        <v>0</v>
      </c>
      <c r="I12" s="94">
        <v>0</v>
      </c>
      <c r="J12" s="94">
        <v>0</v>
      </c>
      <c r="K12" s="94">
        <v>0</v>
      </c>
      <c r="L12" s="197">
        <v>0</v>
      </c>
      <c r="M12" s="93">
        <f t="shared" si="2"/>
        <v>500000</v>
      </c>
      <c r="N12" s="94">
        <v>0</v>
      </c>
      <c r="O12" s="94">
        <v>0</v>
      </c>
      <c r="P12" s="94">
        <v>500000</v>
      </c>
      <c r="Q12" s="94">
        <v>0</v>
      </c>
      <c r="R12" s="94">
        <v>0</v>
      </c>
      <c r="S12" s="94">
        <v>0</v>
      </c>
      <c r="T12" s="94">
        <v>0</v>
      </c>
      <c r="U12" s="197">
        <v>0</v>
      </c>
      <c r="V12" s="254" t="s">
        <v>1357</v>
      </c>
    </row>
    <row r="13" spans="1:22" ht="30">
      <c r="A13" s="12"/>
      <c r="B13" s="12" t="s">
        <v>492</v>
      </c>
      <c r="C13" s="19" t="s">
        <v>493</v>
      </c>
      <c r="D13" s="93">
        <f t="shared" si="0"/>
        <v>3000000</v>
      </c>
      <c r="E13" s="94">
        <v>0</v>
      </c>
      <c r="F13" s="94">
        <v>0</v>
      </c>
      <c r="G13" s="94">
        <v>3000000</v>
      </c>
      <c r="H13" s="94">
        <v>0</v>
      </c>
      <c r="I13" s="94">
        <v>0</v>
      </c>
      <c r="J13" s="94">
        <v>0</v>
      </c>
      <c r="K13" s="94">
        <v>0</v>
      </c>
      <c r="L13" s="197">
        <v>0</v>
      </c>
      <c r="M13" s="93">
        <f t="shared" si="2"/>
        <v>3000000</v>
      </c>
      <c r="N13" s="94">
        <v>0</v>
      </c>
      <c r="O13" s="94">
        <v>0</v>
      </c>
      <c r="P13" s="94">
        <v>3000000</v>
      </c>
      <c r="Q13" s="94">
        <v>0</v>
      </c>
      <c r="R13" s="94">
        <v>0</v>
      </c>
      <c r="S13" s="94">
        <v>0</v>
      </c>
      <c r="T13" s="94">
        <v>0</v>
      </c>
      <c r="U13" s="197">
        <v>0</v>
      </c>
      <c r="V13" s="254" t="s">
        <v>1358</v>
      </c>
    </row>
    <row r="14" spans="1:22" s="129" customFormat="1" ht="18">
      <c r="A14" s="118" t="s">
        <v>93</v>
      </c>
      <c r="B14" s="118"/>
      <c r="C14" s="119" t="s">
        <v>42</v>
      </c>
      <c r="D14" s="24">
        <f t="shared" si="0"/>
        <v>13200000</v>
      </c>
      <c r="E14" s="120">
        <f aca="true" t="shared" si="4" ref="E14:L14">SUM(E15:E17)</f>
        <v>0</v>
      </c>
      <c r="F14" s="120">
        <f t="shared" si="4"/>
        <v>0</v>
      </c>
      <c r="G14" s="120">
        <f t="shared" si="4"/>
        <v>0</v>
      </c>
      <c r="H14" s="120">
        <f t="shared" si="4"/>
        <v>0</v>
      </c>
      <c r="I14" s="120">
        <f t="shared" si="4"/>
        <v>13200000</v>
      </c>
      <c r="J14" s="120">
        <f t="shared" si="4"/>
        <v>0</v>
      </c>
      <c r="K14" s="120">
        <f t="shared" si="4"/>
        <v>0</v>
      </c>
      <c r="L14" s="127">
        <f t="shared" si="4"/>
        <v>0</v>
      </c>
      <c r="M14" s="24">
        <f t="shared" si="2"/>
        <v>13200000</v>
      </c>
      <c r="N14" s="120">
        <f aca="true" t="shared" si="5" ref="N14:U14">SUM(N15:N17)</f>
        <v>0</v>
      </c>
      <c r="O14" s="120">
        <f t="shared" si="5"/>
        <v>0</v>
      </c>
      <c r="P14" s="120">
        <f t="shared" si="5"/>
        <v>0</v>
      </c>
      <c r="Q14" s="120">
        <f t="shared" si="5"/>
        <v>0</v>
      </c>
      <c r="R14" s="120">
        <f t="shared" si="5"/>
        <v>13200000</v>
      </c>
      <c r="S14" s="120">
        <f t="shared" si="5"/>
        <v>0</v>
      </c>
      <c r="T14" s="120">
        <f t="shared" si="5"/>
        <v>0</v>
      </c>
      <c r="U14" s="127">
        <f t="shared" si="5"/>
        <v>0</v>
      </c>
      <c r="V14" s="255"/>
    </row>
    <row r="15" spans="1:22" ht="45">
      <c r="A15" s="12"/>
      <c r="B15" s="12" t="s">
        <v>494</v>
      </c>
      <c r="C15" s="19" t="s">
        <v>495</v>
      </c>
      <c r="D15" s="93">
        <f t="shared" si="0"/>
        <v>7200000</v>
      </c>
      <c r="E15" s="94">
        <v>0</v>
      </c>
      <c r="F15" s="94">
        <v>0</v>
      </c>
      <c r="G15" s="94">
        <v>0</v>
      </c>
      <c r="H15" s="94">
        <v>0</v>
      </c>
      <c r="I15" s="94">
        <v>7200000</v>
      </c>
      <c r="J15" s="94">
        <v>0</v>
      </c>
      <c r="K15" s="94">
        <v>0</v>
      </c>
      <c r="L15" s="197">
        <v>0</v>
      </c>
      <c r="M15" s="93">
        <f t="shared" si="2"/>
        <v>7200000</v>
      </c>
      <c r="N15" s="94">
        <v>0</v>
      </c>
      <c r="O15" s="94">
        <v>0</v>
      </c>
      <c r="P15" s="94">
        <v>0</v>
      </c>
      <c r="Q15" s="94">
        <v>0</v>
      </c>
      <c r="R15" s="94">
        <v>7200000</v>
      </c>
      <c r="S15" s="94">
        <v>0</v>
      </c>
      <c r="T15" s="94">
        <v>0</v>
      </c>
      <c r="U15" s="197">
        <v>0</v>
      </c>
      <c r="V15" s="254" t="s">
        <v>1359</v>
      </c>
    </row>
    <row r="16" spans="1:22" ht="75">
      <c r="A16" s="12"/>
      <c r="B16" s="12" t="s">
        <v>496</v>
      </c>
      <c r="C16" s="19" t="s">
        <v>491</v>
      </c>
      <c r="D16" s="93">
        <f t="shared" si="0"/>
        <v>5000000</v>
      </c>
      <c r="E16" s="94">
        <v>0</v>
      </c>
      <c r="F16" s="94">
        <v>0</v>
      </c>
      <c r="G16" s="94">
        <v>0</v>
      </c>
      <c r="H16" s="94">
        <v>0</v>
      </c>
      <c r="I16" s="94">
        <v>5000000</v>
      </c>
      <c r="J16" s="94">
        <v>0</v>
      </c>
      <c r="K16" s="94">
        <v>0</v>
      </c>
      <c r="L16" s="197">
        <v>0</v>
      </c>
      <c r="M16" s="93">
        <f t="shared" si="2"/>
        <v>5000000</v>
      </c>
      <c r="N16" s="94">
        <v>0</v>
      </c>
      <c r="O16" s="94">
        <v>0</v>
      </c>
      <c r="P16" s="94">
        <v>0</v>
      </c>
      <c r="Q16" s="94">
        <v>0</v>
      </c>
      <c r="R16" s="94">
        <v>5000000</v>
      </c>
      <c r="S16" s="94">
        <v>0</v>
      </c>
      <c r="T16" s="94">
        <v>0</v>
      </c>
      <c r="U16" s="197">
        <v>0</v>
      </c>
      <c r="V16" s="254" t="s">
        <v>1360</v>
      </c>
    </row>
    <row r="17" spans="1:22" ht="90">
      <c r="A17" s="12"/>
      <c r="B17" s="12" t="s">
        <v>917</v>
      </c>
      <c r="C17" s="19" t="s">
        <v>1107</v>
      </c>
      <c r="D17" s="93">
        <f>SUM(E17:L17)</f>
        <v>1000000</v>
      </c>
      <c r="E17" s="94">
        <v>0</v>
      </c>
      <c r="F17" s="94">
        <v>0</v>
      </c>
      <c r="G17" s="94">
        <v>0</v>
      </c>
      <c r="H17" s="94">
        <v>0</v>
      </c>
      <c r="I17" s="94">
        <v>1000000</v>
      </c>
      <c r="J17" s="94">
        <v>0</v>
      </c>
      <c r="K17" s="94">
        <v>0</v>
      </c>
      <c r="L17" s="197">
        <v>0</v>
      </c>
      <c r="M17" s="93">
        <f>SUM(N17:U17)</f>
        <v>1000000</v>
      </c>
      <c r="N17" s="94">
        <v>0</v>
      </c>
      <c r="O17" s="94">
        <v>0</v>
      </c>
      <c r="P17" s="94">
        <v>0</v>
      </c>
      <c r="Q17" s="94">
        <v>0</v>
      </c>
      <c r="R17" s="94">
        <v>1000000</v>
      </c>
      <c r="S17" s="94">
        <v>0</v>
      </c>
      <c r="T17" s="94">
        <v>0</v>
      </c>
      <c r="U17" s="197">
        <v>0</v>
      </c>
      <c r="V17" s="256">
        <v>54326</v>
      </c>
    </row>
    <row r="18" spans="1:22" s="129" customFormat="1" ht="31.5">
      <c r="A18" s="118" t="s">
        <v>94</v>
      </c>
      <c r="B18" s="118"/>
      <c r="C18" s="119" t="s">
        <v>44</v>
      </c>
      <c r="D18" s="24">
        <f t="shared" si="0"/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3">
        <v>0</v>
      </c>
      <c r="M18" s="24">
        <f>SUM(N18:U18)</f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3">
        <v>0</v>
      </c>
      <c r="V18" s="255"/>
    </row>
    <row r="19" spans="1:22" ht="33.75" customHeight="1">
      <c r="A19" s="402" t="s">
        <v>315</v>
      </c>
      <c r="B19" s="402"/>
      <c r="C19" s="402"/>
      <c r="D19" s="24">
        <f t="shared" si="0"/>
        <v>57700000</v>
      </c>
      <c r="E19" s="120">
        <f aca="true" t="shared" si="6" ref="E19:L19">E10+E14+E18</f>
        <v>0</v>
      </c>
      <c r="F19" s="120">
        <f t="shared" si="6"/>
        <v>0</v>
      </c>
      <c r="G19" s="120">
        <f t="shared" si="6"/>
        <v>3500000</v>
      </c>
      <c r="H19" s="120">
        <f t="shared" si="6"/>
        <v>0</v>
      </c>
      <c r="I19" s="120">
        <f t="shared" si="6"/>
        <v>54200000</v>
      </c>
      <c r="J19" s="120">
        <f t="shared" si="6"/>
        <v>0</v>
      </c>
      <c r="K19" s="120">
        <f t="shared" si="6"/>
        <v>0</v>
      </c>
      <c r="L19" s="127">
        <f t="shared" si="6"/>
        <v>0</v>
      </c>
      <c r="M19" s="24">
        <f>SUM(N19:U19)</f>
        <v>57700000</v>
      </c>
      <c r="N19" s="120">
        <f aca="true" t="shared" si="7" ref="N19:U19">N10+N14+N18</f>
        <v>0</v>
      </c>
      <c r="O19" s="120">
        <f t="shared" si="7"/>
        <v>0</v>
      </c>
      <c r="P19" s="120">
        <f t="shared" si="7"/>
        <v>3500000</v>
      </c>
      <c r="Q19" s="120">
        <f t="shared" si="7"/>
        <v>0</v>
      </c>
      <c r="R19" s="120">
        <f t="shared" si="7"/>
        <v>54200000</v>
      </c>
      <c r="S19" s="120">
        <f t="shared" si="7"/>
        <v>0</v>
      </c>
      <c r="T19" s="120">
        <f t="shared" si="7"/>
        <v>0</v>
      </c>
      <c r="U19" s="127">
        <f t="shared" si="7"/>
        <v>0</v>
      </c>
      <c r="V19" s="207"/>
    </row>
    <row r="22" spans="11:21" ht="12.75">
      <c r="K22" s="32"/>
      <c r="L22" s="32" t="s">
        <v>487</v>
      </c>
      <c r="T22" s="32"/>
      <c r="U22" s="32" t="s">
        <v>487</v>
      </c>
    </row>
  </sheetData>
  <sheetProtection selectLockedCells="1" selectUnlockedCells="1"/>
  <mergeCells count="17">
    <mergeCell ref="A3:V3"/>
    <mergeCell ref="A4:V4"/>
    <mergeCell ref="A19:C19"/>
    <mergeCell ref="E8:I8"/>
    <mergeCell ref="J8:L8"/>
    <mergeCell ref="A7:A9"/>
    <mergeCell ref="B7:B9"/>
    <mergeCell ref="A1:V1"/>
    <mergeCell ref="C7:C9"/>
    <mergeCell ref="D7:D9"/>
    <mergeCell ref="E7:L7"/>
    <mergeCell ref="V7:V10"/>
    <mergeCell ref="M7:M9"/>
    <mergeCell ref="N7:U7"/>
    <mergeCell ref="N8:R8"/>
    <mergeCell ref="S8:U8"/>
    <mergeCell ref="A2:V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9"/>
  <sheetViews>
    <sheetView view="pageBreakPreview" zoomScale="80" zoomScaleNormal="80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V1"/>
    </sheetView>
  </sheetViews>
  <sheetFormatPr defaultColWidth="9.140625" defaultRowHeight="12.75"/>
  <cols>
    <col min="1" max="1" width="6.57421875" style="0" customWidth="1"/>
    <col min="2" max="2" width="8.28125" style="0" customWidth="1"/>
    <col min="3" max="3" width="39.421875" style="0" customWidth="1"/>
    <col min="4" max="5" width="14.57421875" style="0" customWidth="1"/>
    <col min="6" max="6" width="15.57421875" style="0" customWidth="1"/>
    <col min="7" max="12" width="14.57421875" style="0" customWidth="1"/>
    <col min="13" max="13" width="16.140625" style="0" customWidth="1"/>
    <col min="14" max="14" width="14.57421875" style="0" customWidth="1"/>
    <col min="15" max="15" width="15.57421875" style="0" customWidth="1"/>
    <col min="16" max="21" width="14.57421875" style="0" customWidth="1"/>
    <col min="22" max="22" width="15.00390625" style="0" customWidth="1"/>
  </cols>
  <sheetData>
    <row r="1" spans="1:22" ht="18">
      <c r="A1" s="347" t="s">
        <v>1563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18">
      <c r="A2" s="358" t="s">
        <v>1537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22" ht="18" customHeight="1">
      <c r="A3" s="423" t="s">
        <v>497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ht="18">
      <c r="A4" s="424" t="s">
        <v>498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3"/>
      <c r="N5" s="3"/>
      <c r="O5" s="3"/>
      <c r="P5" s="3"/>
      <c r="Q5" s="3"/>
      <c r="R5" s="3"/>
      <c r="S5" s="3"/>
      <c r="T5" s="3"/>
      <c r="V5" s="189" t="s">
        <v>1</v>
      </c>
    </row>
    <row r="6" spans="1:23" ht="15" customHeight="1">
      <c r="A6" s="265" t="s">
        <v>2</v>
      </c>
      <c r="B6" s="265" t="s">
        <v>3</v>
      </c>
      <c r="C6" s="265" t="s">
        <v>4</v>
      </c>
      <c r="D6" s="265" t="s">
        <v>5</v>
      </c>
      <c r="E6" s="265" t="s">
        <v>6</v>
      </c>
      <c r="F6" s="265" t="s">
        <v>7</v>
      </c>
      <c r="G6" s="265" t="s">
        <v>8</v>
      </c>
      <c r="H6" s="265" t="s">
        <v>9</v>
      </c>
      <c r="I6" s="265" t="s">
        <v>10</v>
      </c>
      <c r="J6" s="266" t="s">
        <v>11</v>
      </c>
      <c r="K6" s="265" t="s">
        <v>12</v>
      </c>
      <c r="L6" s="267" t="s">
        <v>13</v>
      </c>
      <c r="M6" s="295" t="s">
        <v>14</v>
      </c>
      <c r="N6" s="265" t="s">
        <v>15</v>
      </c>
      <c r="O6" s="265" t="s">
        <v>16</v>
      </c>
      <c r="P6" s="265" t="s">
        <v>17</v>
      </c>
      <c r="Q6" s="265" t="s">
        <v>18</v>
      </c>
      <c r="R6" s="265" t="s">
        <v>19</v>
      </c>
      <c r="S6" s="266" t="s">
        <v>20</v>
      </c>
      <c r="T6" s="265" t="s">
        <v>21</v>
      </c>
      <c r="U6" s="267" t="s">
        <v>22</v>
      </c>
      <c r="V6" s="268" t="s">
        <v>181</v>
      </c>
      <c r="W6" s="244"/>
    </row>
    <row r="7" spans="1:22" ht="12.75" customHeight="1">
      <c r="A7" s="354" t="s">
        <v>24</v>
      </c>
      <c r="B7" s="354" t="s">
        <v>185</v>
      </c>
      <c r="C7" s="355" t="s">
        <v>25</v>
      </c>
      <c r="D7" s="349" t="s">
        <v>1099</v>
      </c>
      <c r="E7" s="345" t="s">
        <v>26</v>
      </c>
      <c r="F7" s="345"/>
      <c r="G7" s="345"/>
      <c r="H7" s="345"/>
      <c r="I7" s="345"/>
      <c r="J7" s="345"/>
      <c r="K7" s="345"/>
      <c r="L7" s="345"/>
      <c r="M7" s="355" t="s">
        <v>1526</v>
      </c>
      <c r="N7" s="403" t="s">
        <v>1525</v>
      </c>
      <c r="O7" s="403"/>
      <c r="P7" s="403"/>
      <c r="Q7" s="403"/>
      <c r="R7" s="403"/>
      <c r="S7" s="403"/>
      <c r="T7" s="403"/>
      <c r="U7" s="404"/>
      <c r="V7" s="345" t="s">
        <v>1234</v>
      </c>
    </row>
    <row r="8" spans="1:22" ht="12.75" customHeight="1">
      <c r="A8" s="354"/>
      <c r="B8" s="354"/>
      <c r="C8" s="355"/>
      <c r="D8" s="349"/>
      <c r="E8" s="346" t="s">
        <v>27</v>
      </c>
      <c r="F8" s="346"/>
      <c r="G8" s="346"/>
      <c r="H8" s="346"/>
      <c r="I8" s="346"/>
      <c r="J8" s="346" t="s">
        <v>28</v>
      </c>
      <c r="K8" s="346"/>
      <c r="L8" s="346"/>
      <c r="M8" s="355"/>
      <c r="N8" s="351" t="s">
        <v>27</v>
      </c>
      <c r="O8" s="351"/>
      <c r="P8" s="351"/>
      <c r="Q8" s="351"/>
      <c r="R8" s="351"/>
      <c r="S8" s="351" t="s">
        <v>28</v>
      </c>
      <c r="T8" s="351"/>
      <c r="U8" s="398"/>
      <c r="V8" s="345"/>
    </row>
    <row r="9" spans="1:22" ht="76.5" customHeight="1">
      <c r="A9" s="354"/>
      <c r="B9" s="354"/>
      <c r="C9" s="355"/>
      <c r="D9" s="349"/>
      <c r="E9" s="169" t="s">
        <v>29</v>
      </c>
      <c r="F9" s="169" t="s">
        <v>30</v>
      </c>
      <c r="G9" s="169" t="s">
        <v>31</v>
      </c>
      <c r="H9" s="169" t="s">
        <v>32</v>
      </c>
      <c r="I9" s="169" t="s">
        <v>33</v>
      </c>
      <c r="J9" s="169" t="s">
        <v>34</v>
      </c>
      <c r="K9" s="169" t="s">
        <v>35</v>
      </c>
      <c r="L9" s="169" t="s">
        <v>36</v>
      </c>
      <c r="M9" s="35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196" t="s">
        <v>36</v>
      </c>
      <c r="V9" s="345"/>
    </row>
    <row r="10" spans="1:22" ht="18">
      <c r="A10" s="12" t="s">
        <v>97</v>
      </c>
      <c r="B10" s="12"/>
      <c r="C10" s="82" t="s">
        <v>40</v>
      </c>
      <c r="D10" s="123">
        <f aca="true" t="shared" si="0" ref="D10:D24">SUM(E10:L10)</f>
        <v>12856670</v>
      </c>
      <c r="E10" s="183">
        <f>SUM(E11:E15)</f>
        <v>0</v>
      </c>
      <c r="F10" s="183">
        <f aca="true" t="shared" si="1" ref="F10:L10">SUM(F11:F15)</f>
        <v>0</v>
      </c>
      <c r="G10" s="183">
        <f>SUM(G11:G15)</f>
        <v>7856670</v>
      </c>
      <c r="H10" s="183">
        <f t="shared" si="1"/>
        <v>0</v>
      </c>
      <c r="I10" s="183">
        <f>SUM(I11:I15)</f>
        <v>5000000</v>
      </c>
      <c r="J10" s="183">
        <f t="shared" si="1"/>
        <v>0</v>
      </c>
      <c r="K10" s="183">
        <f t="shared" si="1"/>
        <v>0</v>
      </c>
      <c r="L10" s="183">
        <f t="shared" si="1"/>
        <v>0</v>
      </c>
      <c r="M10" s="123">
        <f aca="true" t="shared" si="2" ref="M10:M25">SUM(N10:U10)</f>
        <v>12856670</v>
      </c>
      <c r="N10" s="183">
        <f aca="true" t="shared" si="3" ref="N10:U10">SUM(N11:N15)</f>
        <v>0</v>
      </c>
      <c r="O10" s="183">
        <f t="shared" si="3"/>
        <v>0</v>
      </c>
      <c r="P10" s="183">
        <f t="shared" si="3"/>
        <v>7856670</v>
      </c>
      <c r="Q10" s="183">
        <f t="shared" si="3"/>
        <v>0</v>
      </c>
      <c r="R10" s="183">
        <f t="shared" si="3"/>
        <v>5000000</v>
      </c>
      <c r="S10" s="183">
        <f t="shared" si="3"/>
        <v>0</v>
      </c>
      <c r="T10" s="183">
        <f t="shared" si="3"/>
        <v>0</v>
      </c>
      <c r="U10" s="183">
        <f t="shared" si="3"/>
        <v>0</v>
      </c>
      <c r="V10" s="345"/>
    </row>
    <row r="11" spans="1:22" ht="18">
      <c r="A11" s="12"/>
      <c r="B11" s="12" t="s">
        <v>499</v>
      </c>
      <c r="C11" s="19" t="s">
        <v>500</v>
      </c>
      <c r="D11" s="246">
        <f t="shared" si="0"/>
        <v>6037670</v>
      </c>
      <c r="E11" s="179">
        <v>0</v>
      </c>
      <c r="F11" s="179">
        <v>0</v>
      </c>
      <c r="G11" s="179">
        <v>6037670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246">
        <f t="shared" si="2"/>
        <v>6037670</v>
      </c>
      <c r="N11" s="179">
        <v>0</v>
      </c>
      <c r="O11" s="179">
        <v>0</v>
      </c>
      <c r="P11" s="179">
        <v>6037670</v>
      </c>
      <c r="Q11" s="179">
        <v>0</v>
      </c>
      <c r="R11" s="179">
        <v>0</v>
      </c>
      <c r="S11" s="179">
        <v>0</v>
      </c>
      <c r="T11" s="179">
        <v>0</v>
      </c>
      <c r="U11" s="179">
        <v>0</v>
      </c>
      <c r="V11" s="247" t="s">
        <v>1361</v>
      </c>
    </row>
    <row r="12" spans="1:22" ht="30">
      <c r="A12" s="12"/>
      <c r="B12" s="12" t="s">
        <v>501</v>
      </c>
      <c r="C12" s="19" t="s">
        <v>502</v>
      </c>
      <c r="D12" s="246">
        <f t="shared" si="0"/>
        <v>500000</v>
      </c>
      <c r="E12" s="179">
        <v>0</v>
      </c>
      <c r="F12" s="179">
        <v>0</v>
      </c>
      <c r="G12" s="179">
        <v>500000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246">
        <f t="shared" si="2"/>
        <v>500000</v>
      </c>
      <c r="N12" s="179">
        <v>0</v>
      </c>
      <c r="O12" s="179">
        <v>0</v>
      </c>
      <c r="P12" s="179">
        <v>500000</v>
      </c>
      <c r="Q12" s="179">
        <v>0</v>
      </c>
      <c r="R12" s="179">
        <v>0</v>
      </c>
      <c r="S12" s="179">
        <v>0</v>
      </c>
      <c r="T12" s="179">
        <v>0</v>
      </c>
      <c r="U12" s="179">
        <v>0</v>
      </c>
      <c r="V12" s="247" t="s">
        <v>1362</v>
      </c>
    </row>
    <row r="13" spans="1:22" ht="30">
      <c r="A13" s="12"/>
      <c r="B13" s="12" t="s">
        <v>503</v>
      </c>
      <c r="C13" s="19" t="s">
        <v>504</v>
      </c>
      <c r="D13" s="246">
        <f t="shared" si="0"/>
        <v>1319000</v>
      </c>
      <c r="E13" s="179">
        <v>0</v>
      </c>
      <c r="F13" s="179">
        <v>0</v>
      </c>
      <c r="G13" s="179">
        <v>1319000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246">
        <f t="shared" si="2"/>
        <v>1319000</v>
      </c>
      <c r="N13" s="179">
        <v>0</v>
      </c>
      <c r="O13" s="179">
        <v>0</v>
      </c>
      <c r="P13" s="179">
        <v>1319000</v>
      </c>
      <c r="Q13" s="179">
        <v>0</v>
      </c>
      <c r="R13" s="179">
        <v>0</v>
      </c>
      <c r="S13" s="179">
        <v>0</v>
      </c>
      <c r="T13" s="179">
        <v>0</v>
      </c>
      <c r="U13" s="179">
        <v>0</v>
      </c>
      <c r="V13" s="247" t="s">
        <v>1363</v>
      </c>
    </row>
    <row r="14" spans="1:22" ht="18">
      <c r="A14" s="12"/>
      <c r="B14" s="12" t="s">
        <v>505</v>
      </c>
      <c r="C14" s="19" t="s">
        <v>506</v>
      </c>
      <c r="D14" s="246">
        <f t="shared" si="0"/>
        <v>2500000</v>
      </c>
      <c r="E14" s="179">
        <v>0</v>
      </c>
      <c r="F14" s="179">
        <v>0</v>
      </c>
      <c r="G14" s="179">
        <v>0</v>
      </c>
      <c r="H14" s="179">
        <v>0</v>
      </c>
      <c r="I14" s="179">
        <v>2500000</v>
      </c>
      <c r="J14" s="179">
        <v>0</v>
      </c>
      <c r="K14" s="179">
        <v>0</v>
      </c>
      <c r="L14" s="179">
        <v>0</v>
      </c>
      <c r="M14" s="246">
        <f t="shared" si="2"/>
        <v>2500000</v>
      </c>
      <c r="N14" s="179">
        <v>0</v>
      </c>
      <c r="O14" s="179">
        <v>0</v>
      </c>
      <c r="P14" s="179">
        <v>0</v>
      </c>
      <c r="Q14" s="179">
        <v>0</v>
      </c>
      <c r="R14" s="179">
        <v>2500000</v>
      </c>
      <c r="S14" s="179">
        <v>0</v>
      </c>
      <c r="T14" s="179">
        <v>0</v>
      </c>
      <c r="U14" s="179">
        <v>0</v>
      </c>
      <c r="V14" s="247" t="s">
        <v>1364</v>
      </c>
    </row>
    <row r="15" spans="1:22" ht="18">
      <c r="A15" s="12"/>
      <c r="B15" s="12" t="s">
        <v>507</v>
      </c>
      <c r="C15" s="19" t="s">
        <v>943</v>
      </c>
      <c r="D15" s="246">
        <f t="shared" si="0"/>
        <v>2500000</v>
      </c>
      <c r="E15" s="179">
        <v>0</v>
      </c>
      <c r="F15" s="179">
        <v>0</v>
      </c>
      <c r="G15" s="179">
        <v>0</v>
      </c>
      <c r="H15" s="179">
        <v>0</v>
      </c>
      <c r="I15" s="179">
        <v>2500000</v>
      </c>
      <c r="J15" s="179">
        <v>0</v>
      </c>
      <c r="K15" s="179">
        <v>0</v>
      </c>
      <c r="L15" s="179">
        <v>0</v>
      </c>
      <c r="M15" s="246">
        <f t="shared" si="2"/>
        <v>2500000</v>
      </c>
      <c r="N15" s="179">
        <v>0</v>
      </c>
      <c r="O15" s="179">
        <v>0</v>
      </c>
      <c r="P15" s="179">
        <v>0</v>
      </c>
      <c r="Q15" s="179">
        <v>0</v>
      </c>
      <c r="R15" s="179">
        <v>2500000</v>
      </c>
      <c r="S15" s="179">
        <v>0</v>
      </c>
      <c r="T15" s="179">
        <v>0</v>
      </c>
      <c r="U15" s="179">
        <v>0</v>
      </c>
      <c r="V15" s="247" t="s">
        <v>1365</v>
      </c>
    </row>
    <row r="16" spans="1:22" ht="18">
      <c r="A16" s="12" t="s">
        <v>98</v>
      </c>
      <c r="B16" s="12"/>
      <c r="C16" s="82" t="s">
        <v>42</v>
      </c>
      <c r="D16" s="123">
        <f>SUM(E16:L16)</f>
        <v>62712600</v>
      </c>
      <c r="E16" s="183">
        <f aca="true" t="shared" si="4" ref="E16:L16">SUM(E17:E23)</f>
        <v>16392600</v>
      </c>
      <c r="F16" s="183">
        <f t="shared" si="4"/>
        <v>2220000</v>
      </c>
      <c r="G16" s="183">
        <f t="shared" si="4"/>
        <v>7000000</v>
      </c>
      <c r="H16" s="183">
        <f t="shared" si="4"/>
        <v>0</v>
      </c>
      <c r="I16" s="183">
        <f t="shared" si="4"/>
        <v>37100000</v>
      </c>
      <c r="J16" s="183">
        <f t="shared" si="4"/>
        <v>0</v>
      </c>
      <c r="K16" s="183">
        <f t="shared" si="4"/>
        <v>0</v>
      </c>
      <c r="L16" s="183">
        <f t="shared" si="4"/>
        <v>0</v>
      </c>
      <c r="M16" s="123">
        <f>SUM(N16:U16)</f>
        <v>88712600</v>
      </c>
      <c r="N16" s="183">
        <f aca="true" t="shared" si="5" ref="N16:U16">SUM(N17:N23)</f>
        <v>16392600</v>
      </c>
      <c r="O16" s="183">
        <f t="shared" si="5"/>
        <v>2220000</v>
      </c>
      <c r="P16" s="183">
        <f t="shared" si="5"/>
        <v>7000000</v>
      </c>
      <c r="Q16" s="183">
        <f t="shared" si="5"/>
        <v>0</v>
      </c>
      <c r="R16" s="183">
        <f t="shared" si="5"/>
        <v>63100000</v>
      </c>
      <c r="S16" s="183">
        <f t="shared" si="5"/>
        <v>0</v>
      </c>
      <c r="T16" s="183">
        <f t="shared" si="5"/>
        <v>0</v>
      </c>
      <c r="U16" s="183">
        <f t="shared" si="5"/>
        <v>0</v>
      </c>
      <c r="V16" s="257"/>
    </row>
    <row r="17" spans="1:22" ht="18">
      <c r="A17" s="12"/>
      <c r="B17" s="12" t="s">
        <v>508</v>
      </c>
      <c r="C17" s="19" t="s">
        <v>509</v>
      </c>
      <c r="D17" s="246">
        <f t="shared" si="0"/>
        <v>1500000</v>
      </c>
      <c r="E17" s="179">
        <v>0</v>
      </c>
      <c r="F17" s="179">
        <v>0</v>
      </c>
      <c r="G17" s="179">
        <v>0</v>
      </c>
      <c r="H17" s="179">
        <v>0</v>
      </c>
      <c r="I17" s="179">
        <v>1500000</v>
      </c>
      <c r="J17" s="179">
        <v>0</v>
      </c>
      <c r="K17" s="179">
        <v>0</v>
      </c>
      <c r="L17" s="179">
        <v>0</v>
      </c>
      <c r="M17" s="246">
        <f t="shared" si="2"/>
        <v>1500000</v>
      </c>
      <c r="N17" s="179">
        <v>0</v>
      </c>
      <c r="O17" s="179">
        <v>0</v>
      </c>
      <c r="P17" s="179">
        <v>0</v>
      </c>
      <c r="Q17" s="179">
        <v>0</v>
      </c>
      <c r="R17" s="179">
        <v>1500000</v>
      </c>
      <c r="S17" s="179">
        <v>0</v>
      </c>
      <c r="T17" s="179">
        <v>0</v>
      </c>
      <c r="U17" s="179">
        <v>0</v>
      </c>
      <c r="V17" s="247" t="s">
        <v>1366</v>
      </c>
    </row>
    <row r="18" spans="1:25" ht="18">
      <c r="A18" s="12"/>
      <c r="B18" s="12" t="s">
        <v>510</v>
      </c>
      <c r="C18" s="19" t="s">
        <v>511</v>
      </c>
      <c r="D18" s="246">
        <f t="shared" si="0"/>
        <v>18612600</v>
      </c>
      <c r="E18" s="179">
        <v>16392600</v>
      </c>
      <c r="F18" s="179">
        <v>2220000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246">
        <f t="shared" si="2"/>
        <v>18612600</v>
      </c>
      <c r="N18" s="179">
        <v>16392600</v>
      </c>
      <c r="O18" s="179">
        <v>2220000</v>
      </c>
      <c r="P18" s="179">
        <v>0</v>
      </c>
      <c r="Q18" s="179">
        <v>0</v>
      </c>
      <c r="R18" s="179">
        <v>0</v>
      </c>
      <c r="S18" s="179">
        <v>0</v>
      </c>
      <c r="T18" s="179">
        <v>0</v>
      </c>
      <c r="U18" s="179">
        <v>0</v>
      </c>
      <c r="V18" s="247" t="s">
        <v>1367</v>
      </c>
      <c r="Y18" s="191"/>
    </row>
    <row r="19" spans="1:22" ht="30">
      <c r="A19" s="12"/>
      <c r="B19" s="12" t="s">
        <v>512</v>
      </c>
      <c r="C19" s="19" t="s">
        <v>1130</v>
      </c>
      <c r="D19" s="246">
        <f t="shared" si="0"/>
        <v>7000000</v>
      </c>
      <c r="E19" s="179">
        <v>0</v>
      </c>
      <c r="F19" s="179">
        <v>0</v>
      </c>
      <c r="G19" s="179">
        <v>7000000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246">
        <f t="shared" si="2"/>
        <v>7000000</v>
      </c>
      <c r="N19" s="179">
        <v>0</v>
      </c>
      <c r="O19" s="179">
        <v>0</v>
      </c>
      <c r="P19" s="179">
        <v>7000000</v>
      </c>
      <c r="Q19" s="179">
        <v>0</v>
      </c>
      <c r="R19" s="179">
        <v>0</v>
      </c>
      <c r="S19" s="179">
        <v>0</v>
      </c>
      <c r="T19" s="179">
        <v>0</v>
      </c>
      <c r="U19" s="179">
        <v>0</v>
      </c>
      <c r="V19" s="247" t="s">
        <v>1368</v>
      </c>
    </row>
    <row r="20" spans="1:22" ht="18">
      <c r="A20" s="12"/>
      <c r="B20" s="12" t="s">
        <v>513</v>
      </c>
      <c r="C20" s="19" t="s">
        <v>1227</v>
      </c>
      <c r="D20" s="246">
        <f t="shared" si="0"/>
        <v>20000000</v>
      </c>
      <c r="E20" s="179">
        <v>0</v>
      </c>
      <c r="F20" s="179">
        <v>0</v>
      </c>
      <c r="G20" s="179">
        <v>0</v>
      </c>
      <c r="H20" s="179">
        <v>0</v>
      </c>
      <c r="I20" s="179">
        <v>20000000</v>
      </c>
      <c r="J20" s="179">
        <v>0</v>
      </c>
      <c r="K20" s="179">
        <v>0</v>
      </c>
      <c r="L20" s="179">
        <v>0</v>
      </c>
      <c r="M20" s="246">
        <f t="shared" si="2"/>
        <v>40000000</v>
      </c>
      <c r="N20" s="179">
        <v>0</v>
      </c>
      <c r="O20" s="179">
        <v>0</v>
      </c>
      <c r="P20" s="179">
        <v>0</v>
      </c>
      <c r="Q20" s="179">
        <v>0</v>
      </c>
      <c r="R20" s="179">
        <v>40000000</v>
      </c>
      <c r="S20" s="179">
        <v>0</v>
      </c>
      <c r="T20" s="179">
        <v>0</v>
      </c>
      <c r="U20" s="179">
        <v>0</v>
      </c>
      <c r="V20" s="299">
        <v>54414</v>
      </c>
    </row>
    <row r="21" spans="1:22" ht="18">
      <c r="A21" s="12"/>
      <c r="B21" s="12" t="s">
        <v>916</v>
      </c>
      <c r="C21" s="19" t="s">
        <v>1511</v>
      </c>
      <c r="D21" s="246">
        <f>SUM(E21:L21)</f>
        <v>10000000</v>
      </c>
      <c r="E21" s="179">
        <v>0</v>
      </c>
      <c r="F21" s="179">
        <v>0</v>
      </c>
      <c r="G21" s="179">
        <v>0</v>
      </c>
      <c r="H21" s="179">
        <v>0</v>
      </c>
      <c r="I21" s="179">
        <v>10000000</v>
      </c>
      <c r="J21" s="179">
        <v>0</v>
      </c>
      <c r="K21" s="179">
        <v>0</v>
      </c>
      <c r="L21" s="179">
        <v>0</v>
      </c>
      <c r="M21" s="246">
        <f t="shared" si="2"/>
        <v>10000000</v>
      </c>
      <c r="N21" s="179">
        <v>0</v>
      </c>
      <c r="O21" s="179">
        <v>0</v>
      </c>
      <c r="P21" s="179">
        <v>0</v>
      </c>
      <c r="Q21" s="179">
        <v>0</v>
      </c>
      <c r="R21" s="179">
        <v>10000000</v>
      </c>
      <c r="S21" s="179">
        <v>0</v>
      </c>
      <c r="T21" s="179">
        <v>0</v>
      </c>
      <c r="U21" s="179">
        <v>0</v>
      </c>
      <c r="V21" s="299" t="s">
        <v>1516</v>
      </c>
    </row>
    <row r="22" spans="1:22" ht="18">
      <c r="A22" s="12"/>
      <c r="B22" s="12" t="s">
        <v>1131</v>
      </c>
      <c r="C22" s="19" t="s">
        <v>1226</v>
      </c>
      <c r="D22" s="246">
        <f>SUM(E22:L22)</f>
        <v>5600000</v>
      </c>
      <c r="E22" s="179">
        <v>0</v>
      </c>
      <c r="F22" s="179">
        <v>0</v>
      </c>
      <c r="G22" s="179">
        <v>0</v>
      </c>
      <c r="H22" s="179">
        <v>0</v>
      </c>
      <c r="I22" s="179">
        <v>5600000</v>
      </c>
      <c r="J22" s="179">
        <v>0</v>
      </c>
      <c r="K22" s="179">
        <v>0</v>
      </c>
      <c r="L22" s="179">
        <v>0</v>
      </c>
      <c r="M22" s="246">
        <f>SUM(N22:U22)</f>
        <v>5600000</v>
      </c>
      <c r="N22" s="179">
        <v>0</v>
      </c>
      <c r="O22" s="179">
        <v>0</v>
      </c>
      <c r="P22" s="179">
        <v>0</v>
      </c>
      <c r="Q22" s="179">
        <v>0</v>
      </c>
      <c r="R22" s="179">
        <v>5600000</v>
      </c>
      <c r="S22" s="179">
        <v>0</v>
      </c>
      <c r="T22" s="179">
        <v>0</v>
      </c>
      <c r="U22" s="179">
        <v>0</v>
      </c>
      <c r="V22" s="299">
        <v>54416</v>
      </c>
    </row>
    <row r="23" spans="1:22" ht="31.5" customHeight="1">
      <c r="A23" s="12"/>
      <c r="B23" s="12" t="s">
        <v>1547</v>
      </c>
      <c r="C23" s="19" t="s">
        <v>1548</v>
      </c>
      <c r="D23" s="246">
        <f>SUM(E23:L23)</f>
        <v>0</v>
      </c>
      <c r="E23" s="179">
        <v>0</v>
      </c>
      <c r="F23" s="179">
        <v>0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246">
        <f t="shared" si="2"/>
        <v>6000000</v>
      </c>
      <c r="N23" s="179">
        <v>0</v>
      </c>
      <c r="O23" s="179">
        <v>0</v>
      </c>
      <c r="P23" s="179">
        <v>0</v>
      </c>
      <c r="Q23" s="179">
        <v>0</v>
      </c>
      <c r="R23" s="179">
        <v>6000000</v>
      </c>
      <c r="S23" s="179">
        <v>0</v>
      </c>
      <c r="T23" s="179">
        <v>0</v>
      </c>
      <c r="U23" s="179">
        <v>0</v>
      </c>
      <c r="V23" s="299">
        <v>54417</v>
      </c>
    </row>
    <row r="24" spans="1:22" ht="18">
      <c r="A24" s="12" t="s">
        <v>99</v>
      </c>
      <c r="B24" s="12"/>
      <c r="C24" s="82" t="s">
        <v>44</v>
      </c>
      <c r="D24" s="123">
        <f t="shared" si="0"/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2">
        <v>0</v>
      </c>
      <c r="M24" s="123">
        <f t="shared" si="2"/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2">
        <v>0</v>
      </c>
      <c r="V24" s="257"/>
    </row>
    <row r="25" spans="1:22" ht="24.75" customHeight="1">
      <c r="A25" s="402" t="s">
        <v>315</v>
      </c>
      <c r="B25" s="402"/>
      <c r="C25" s="402"/>
      <c r="D25" s="123">
        <f>SUM(E25:L25)</f>
        <v>75569270</v>
      </c>
      <c r="E25" s="183">
        <f aca="true" t="shared" si="6" ref="E25:L25">E10+E16+E24</f>
        <v>16392600</v>
      </c>
      <c r="F25" s="183">
        <f t="shared" si="6"/>
        <v>2220000</v>
      </c>
      <c r="G25" s="183">
        <f t="shared" si="6"/>
        <v>14856670</v>
      </c>
      <c r="H25" s="183">
        <f t="shared" si="6"/>
        <v>0</v>
      </c>
      <c r="I25" s="183">
        <f t="shared" si="6"/>
        <v>42100000</v>
      </c>
      <c r="J25" s="183">
        <f t="shared" si="6"/>
        <v>0</v>
      </c>
      <c r="K25" s="183">
        <f t="shared" si="6"/>
        <v>0</v>
      </c>
      <c r="L25" s="183">
        <f t="shared" si="6"/>
        <v>0</v>
      </c>
      <c r="M25" s="123">
        <f t="shared" si="2"/>
        <v>101569270</v>
      </c>
      <c r="N25" s="183">
        <f aca="true" t="shared" si="7" ref="N25:U25">N10+N16+N24</f>
        <v>16392600</v>
      </c>
      <c r="O25" s="183">
        <f t="shared" si="7"/>
        <v>2220000</v>
      </c>
      <c r="P25" s="183">
        <f t="shared" si="7"/>
        <v>14856670</v>
      </c>
      <c r="Q25" s="183">
        <f t="shared" si="7"/>
        <v>0</v>
      </c>
      <c r="R25" s="183">
        <f t="shared" si="7"/>
        <v>68100000</v>
      </c>
      <c r="S25" s="183">
        <f t="shared" si="7"/>
        <v>0</v>
      </c>
      <c r="T25" s="183">
        <f t="shared" si="7"/>
        <v>0</v>
      </c>
      <c r="U25" s="183">
        <f t="shared" si="7"/>
        <v>0</v>
      </c>
      <c r="V25" s="257"/>
    </row>
    <row r="27" spans="11:21" s="128" customFormat="1" ht="12.75">
      <c r="K27" s="154"/>
      <c r="L27" s="154"/>
      <c r="T27" s="154"/>
      <c r="U27" s="154"/>
    </row>
    <row r="28" spans="11:21" s="128" customFormat="1" ht="12.75">
      <c r="K28" s="154"/>
      <c r="L28" s="154"/>
      <c r="T28" s="154"/>
      <c r="U28" s="154"/>
    </row>
    <row r="29" spans="11:21" s="128" customFormat="1" ht="12.75">
      <c r="K29" s="154"/>
      <c r="L29" s="154"/>
      <c r="T29" s="154"/>
      <c r="U29" s="154"/>
    </row>
    <row r="30" s="128" customFormat="1" ht="12.75"/>
    <row r="31" s="128" customFormat="1" ht="12.75"/>
    <row r="32" s="128" customFormat="1" ht="12.75"/>
  </sheetData>
  <sheetProtection selectLockedCells="1" selectUnlockedCells="1"/>
  <mergeCells count="17">
    <mergeCell ref="A25:C25"/>
    <mergeCell ref="E8:I8"/>
    <mergeCell ref="J8:L8"/>
    <mergeCell ref="A7:A9"/>
    <mergeCell ref="B7:B9"/>
    <mergeCell ref="A1:V1"/>
    <mergeCell ref="C7:C9"/>
    <mergeCell ref="A2:V2"/>
    <mergeCell ref="A3:V3"/>
    <mergeCell ref="A4:V4"/>
    <mergeCell ref="D7:D9"/>
    <mergeCell ref="E7:L7"/>
    <mergeCell ref="V7:V10"/>
    <mergeCell ref="M7:M9"/>
    <mergeCell ref="N7:U7"/>
    <mergeCell ref="N8:R8"/>
    <mergeCell ref="S8:U8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9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5"/>
  <sheetViews>
    <sheetView view="pageBreakPreview" zoomScale="66" zoomScaleNormal="66" zoomScaleSheetLayoutView="66" zoomScalePageLayoutView="0" workbookViewId="0" topLeftCell="A1">
      <selection activeCell="A1" sqref="A1:W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0.8515625" style="0" customWidth="1"/>
    <col min="4" max="4" width="70.00390625" style="0" customWidth="1"/>
    <col min="5" max="5" width="18.7109375" style="0" customWidth="1"/>
    <col min="6" max="8" width="14.57421875" style="0" customWidth="1"/>
    <col min="9" max="9" width="19.421875" style="0" bestFit="1" customWidth="1"/>
    <col min="10" max="13" width="14.57421875" style="0" customWidth="1"/>
    <col min="14" max="14" width="18.7109375" style="0" customWidth="1"/>
    <col min="15" max="17" width="14.57421875" style="0" customWidth="1"/>
    <col min="18" max="18" width="19.421875" style="0" bestFit="1" customWidth="1"/>
    <col min="19" max="22" width="14.57421875" style="0" customWidth="1"/>
    <col min="23" max="23" width="16.28125" style="248" customWidth="1"/>
  </cols>
  <sheetData>
    <row r="1" spans="1:23" ht="18">
      <c r="A1" s="347" t="s">
        <v>1564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</row>
    <row r="2" spans="1:23" ht="18">
      <c r="A2" s="358" t="s">
        <v>1538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</row>
    <row r="3" spans="1:23" ht="18" customHeight="1">
      <c r="A3" s="423" t="s">
        <v>514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</row>
    <row r="4" spans="1:23" ht="18">
      <c r="A4" s="424" t="s">
        <v>515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</row>
    <row r="5" spans="1:23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3"/>
      <c r="O5" s="3"/>
      <c r="P5" s="3"/>
      <c r="Q5" s="3"/>
      <c r="R5" s="3"/>
      <c r="S5" s="3"/>
      <c r="T5" s="3"/>
      <c r="U5" s="3"/>
      <c r="W5" s="312" t="s">
        <v>1</v>
      </c>
    </row>
    <row r="6" spans="1:23" ht="15" customHeight="1">
      <c r="A6" s="265" t="s">
        <v>2</v>
      </c>
      <c r="B6" s="265" t="s">
        <v>3</v>
      </c>
      <c r="C6" s="265" t="s">
        <v>4</v>
      </c>
      <c r="D6" s="265" t="s">
        <v>5</v>
      </c>
      <c r="E6" s="265" t="s">
        <v>6</v>
      </c>
      <c r="F6" s="265" t="s">
        <v>7</v>
      </c>
      <c r="G6" s="265" t="s">
        <v>8</v>
      </c>
      <c r="H6" s="265" t="s">
        <v>9</v>
      </c>
      <c r="I6" s="265" t="s">
        <v>10</v>
      </c>
      <c r="J6" s="266" t="s">
        <v>11</v>
      </c>
      <c r="K6" s="265" t="s">
        <v>12</v>
      </c>
      <c r="L6" s="267" t="s">
        <v>13</v>
      </c>
      <c r="M6" s="268" t="s">
        <v>14</v>
      </c>
      <c r="N6" s="265" t="s">
        <v>15</v>
      </c>
      <c r="O6" s="265" t="s">
        <v>16</v>
      </c>
      <c r="P6" s="265" t="s">
        <v>17</v>
      </c>
      <c r="Q6" s="265" t="s">
        <v>18</v>
      </c>
      <c r="R6" s="265" t="s">
        <v>19</v>
      </c>
      <c r="S6" s="266" t="s">
        <v>20</v>
      </c>
      <c r="T6" s="265" t="s">
        <v>21</v>
      </c>
      <c r="U6" s="267" t="s">
        <v>22</v>
      </c>
      <c r="V6" s="268" t="s">
        <v>181</v>
      </c>
      <c r="W6" s="297" t="s">
        <v>182</v>
      </c>
    </row>
    <row r="7" spans="1:23" ht="12.75" customHeight="1">
      <c r="A7" s="354" t="s">
        <v>24</v>
      </c>
      <c r="B7" s="354" t="s">
        <v>185</v>
      </c>
      <c r="C7" s="354" t="s">
        <v>354</v>
      </c>
      <c r="D7" s="355" t="s">
        <v>25</v>
      </c>
      <c r="E7" s="355" t="s">
        <v>1099</v>
      </c>
      <c r="F7" s="403" t="s">
        <v>26</v>
      </c>
      <c r="G7" s="403"/>
      <c r="H7" s="403"/>
      <c r="I7" s="403"/>
      <c r="J7" s="403"/>
      <c r="K7" s="403"/>
      <c r="L7" s="403"/>
      <c r="M7" s="432"/>
      <c r="N7" s="355" t="s">
        <v>1526</v>
      </c>
      <c r="O7" s="403" t="s">
        <v>1525</v>
      </c>
      <c r="P7" s="403"/>
      <c r="Q7" s="403"/>
      <c r="R7" s="403"/>
      <c r="S7" s="403"/>
      <c r="T7" s="403"/>
      <c r="U7" s="403"/>
      <c r="V7" s="404"/>
      <c r="W7" s="433" t="s">
        <v>1234</v>
      </c>
    </row>
    <row r="8" spans="1:23" ht="12.75" customHeight="1">
      <c r="A8" s="354"/>
      <c r="B8" s="354"/>
      <c r="C8" s="354"/>
      <c r="D8" s="355"/>
      <c r="E8" s="355"/>
      <c r="F8" s="351" t="s">
        <v>27</v>
      </c>
      <c r="G8" s="351"/>
      <c r="H8" s="351"/>
      <c r="I8" s="351"/>
      <c r="J8" s="351"/>
      <c r="K8" s="351" t="s">
        <v>28</v>
      </c>
      <c r="L8" s="351"/>
      <c r="M8" s="398"/>
      <c r="N8" s="355"/>
      <c r="O8" s="351" t="s">
        <v>27</v>
      </c>
      <c r="P8" s="351"/>
      <c r="Q8" s="351"/>
      <c r="R8" s="351"/>
      <c r="S8" s="351"/>
      <c r="T8" s="351" t="s">
        <v>28</v>
      </c>
      <c r="U8" s="351"/>
      <c r="V8" s="398"/>
      <c r="W8" s="433"/>
    </row>
    <row r="9" spans="1:23" ht="93" customHeight="1">
      <c r="A9" s="354"/>
      <c r="B9" s="354"/>
      <c r="C9" s="354"/>
      <c r="D9" s="355"/>
      <c r="E9" s="355"/>
      <c r="F9" s="7" t="s">
        <v>29</v>
      </c>
      <c r="G9" s="7" t="s">
        <v>30</v>
      </c>
      <c r="H9" s="7" t="s">
        <v>31</v>
      </c>
      <c r="I9" s="7" t="s">
        <v>32</v>
      </c>
      <c r="J9" s="7" t="s">
        <v>33</v>
      </c>
      <c r="K9" s="7" t="s">
        <v>34</v>
      </c>
      <c r="L9" s="7" t="s">
        <v>35</v>
      </c>
      <c r="M9" s="196" t="s">
        <v>36</v>
      </c>
      <c r="N9" s="355"/>
      <c r="O9" s="7" t="s">
        <v>29</v>
      </c>
      <c r="P9" s="7" t="s">
        <v>30</v>
      </c>
      <c r="Q9" s="7" t="s">
        <v>31</v>
      </c>
      <c r="R9" s="7" t="s">
        <v>32</v>
      </c>
      <c r="S9" s="7" t="s">
        <v>33</v>
      </c>
      <c r="T9" s="7" t="s">
        <v>34</v>
      </c>
      <c r="U9" s="7" t="s">
        <v>35</v>
      </c>
      <c r="V9" s="196" t="s">
        <v>36</v>
      </c>
      <c r="W9" s="433"/>
    </row>
    <row r="10" spans="1:23" s="129" customFormat="1" ht="18">
      <c r="A10" s="118" t="s">
        <v>102</v>
      </c>
      <c r="B10" s="118"/>
      <c r="C10" s="118"/>
      <c r="D10" s="119" t="s">
        <v>40</v>
      </c>
      <c r="E10" s="24">
        <f aca="true" t="shared" si="0" ref="E10:E28">SUM(F10:M10)</f>
        <v>208308088</v>
      </c>
      <c r="F10" s="120">
        <f aca="true" t="shared" si="1" ref="F10:M10">F11+F16+F21+F22</f>
        <v>0</v>
      </c>
      <c r="G10" s="120">
        <f t="shared" si="1"/>
        <v>0</v>
      </c>
      <c r="H10" s="120">
        <f t="shared" si="1"/>
        <v>0</v>
      </c>
      <c r="I10" s="120">
        <f t="shared" si="1"/>
        <v>208308088</v>
      </c>
      <c r="J10" s="120">
        <f t="shared" si="1"/>
        <v>0</v>
      </c>
      <c r="K10" s="120">
        <f t="shared" si="1"/>
        <v>0</v>
      </c>
      <c r="L10" s="120">
        <f t="shared" si="1"/>
        <v>0</v>
      </c>
      <c r="M10" s="127">
        <f t="shared" si="1"/>
        <v>0</v>
      </c>
      <c r="N10" s="24">
        <f aca="true" t="shared" si="2" ref="N10:N28">SUM(O10:V10)</f>
        <v>209023365</v>
      </c>
      <c r="O10" s="120">
        <f aca="true" t="shared" si="3" ref="O10:V10">O11+O16+O21+O22</f>
        <v>0</v>
      </c>
      <c r="P10" s="120">
        <f t="shared" si="3"/>
        <v>0</v>
      </c>
      <c r="Q10" s="120">
        <f t="shared" si="3"/>
        <v>0</v>
      </c>
      <c r="R10" s="120">
        <f t="shared" si="3"/>
        <v>209023365</v>
      </c>
      <c r="S10" s="120">
        <f t="shared" si="3"/>
        <v>0</v>
      </c>
      <c r="T10" s="120">
        <f t="shared" si="3"/>
        <v>0</v>
      </c>
      <c r="U10" s="120">
        <f t="shared" si="3"/>
        <v>0</v>
      </c>
      <c r="V10" s="127">
        <f t="shared" si="3"/>
        <v>0</v>
      </c>
      <c r="W10" s="433"/>
    </row>
    <row r="11" spans="1:23" s="129" customFormat="1" ht="18">
      <c r="A11" s="118"/>
      <c r="B11" s="118" t="s">
        <v>516</v>
      </c>
      <c r="C11" s="118"/>
      <c r="D11" s="126" t="s">
        <v>517</v>
      </c>
      <c r="E11" s="24">
        <f t="shared" si="0"/>
        <v>132000000</v>
      </c>
      <c r="F11" s="131">
        <f aca="true" t="shared" si="4" ref="F11:M11">SUM(F12:F15)</f>
        <v>0</v>
      </c>
      <c r="G11" s="131">
        <f t="shared" si="4"/>
        <v>0</v>
      </c>
      <c r="H11" s="131">
        <f t="shared" si="4"/>
        <v>0</v>
      </c>
      <c r="I11" s="131">
        <f>SUM(I12:I15)</f>
        <v>132000000</v>
      </c>
      <c r="J11" s="131">
        <f t="shared" si="4"/>
        <v>0</v>
      </c>
      <c r="K11" s="131">
        <f t="shared" si="4"/>
        <v>0</v>
      </c>
      <c r="L11" s="131">
        <f t="shared" si="4"/>
        <v>0</v>
      </c>
      <c r="M11" s="258">
        <f t="shared" si="4"/>
        <v>0</v>
      </c>
      <c r="N11" s="24">
        <f t="shared" si="2"/>
        <v>132000000</v>
      </c>
      <c r="O11" s="131">
        <f aca="true" t="shared" si="5" ref="O11:V11">SUM(O12:O15)</f>
        <v>0</v>
      </c>
      <c r="P11" s="131">
        <f t="shared" si="5"/>
        <v>0</v>
      </c>
      <c r="Q11" s="131">
        <f t="shared" si="5"/>
        <v>0</v>
      </c>
      <c r="R11" s="131">
        <f t="shared" si="5"/>
        <v>132000000</v>
      </c>
      <c r="S11" s="131">
        <f t="shared" si="5"/>
        <v>0</v>
      </c>
      <c r="T11" s="131">
        <f t="shared" si="5"/>
        <v>0</v>
      </c>
      <c r="U11" s="131">
        <f t="shared" si="5"/>
        <v>0</v>
      </c>
      <c r="V11" s="258">
        <f t="shared" si="5"/>
        <v>0</v>
      </c>
      <c r="W11" s="300"/>
    </row>
    <row r="12" spans="1:23" ht="18">
      <c r="A12" s="12"/>
      <c r="B12" s="12"/>
      <c r="C12" s="12" t="s">
        <v>518</v>
      </c>
      <c r="D12" s="19" t="s">
        <v>519</v>
      </c>
      <c r="E12" s="93">
        <f t="shared" si="0"/>
        <v>80000000</v>
      </c>
      <c r="F12" s="94">
        <v>0</v>
      </c>
      <c r="G12" s="94">
        <v>0</v>
      </c>
      <c r="H12" s="94">
        <v>0</v>
      </c>
      <c r="I12" s="94">
        <v>80000000</v>
      </c>
      <c r="J12" s="94"/>
      <c r="K12" s="94">
        <v>0</v>
      </c>
      <c r="L12" s="94">
        <v>0</v>
      </c>
      <c r="M12" s="259">
        <v>0</v>
      </c>
      <c r="N12" s="93">
        <f t="shared" si="2"/>
        <v>80000000</v>
      </c>
      <c r="O12" s="94">
        <v>0</v>
      </c>
      <c r="P12" s="94">
        <v>0</v>
      </c>
      <c r="Q12" s="94">
        <v>0</v>
      </c>
      <c r="R12" s="94">
        <v>80000000</v>
      </c>
      <c r="S12" s="94"/>
      <c r="T12" s="94">
        <v>0</v>
      </c>
      <c r="U12" s="94">
        <v>0</v>
      </c>
      <c r="V12" s="259">
        <v>0</v>
      </c>
      <c r="W12" s="300" t="s">
        <v>1369</v>
      </c>
    </row>
    <row r="13" spans="1:23" ht="18">
      <c r="A13" s="12"/>
      <c r="B13" s="12"/>
      <c r="C13" s="12" t="s">
        <v>520</v>
      </c>
      <c r="D13" s="19" t="s">
        <v>521</v>
      </c>
      <c r="E13" s="93">
        <f t="shared" si="0"/>
        <v>10000000</v>
      </c>
      <c r="F13" s="94">
        <v>0</v>
      </c>
      <c r="G13" s="94">
        <v>0</v>
      </c>
      <c r="H13" s="94">
        <v>0</v>
      </c>
      <c r="I13" s="94">
        <v>10000000</v>
      </c>
      <c r="J13" s="94">
        <v>0</v>
      </c>
      <c r="K13" s="94">
        <v>0</v>
      </c>
      <c r="L13" s="94">
        <v>0</v>
      </c>
      <c r="M13" s="259">
        <v>0</v>
      </c>
      <c r="N13" s="93">
        <f t="shared" si="2"/>
        <v>10000000</v>
      </c>
      <c r="O13" s="94">
        <v>0</v>
      </c>
      <c r="P13" s="94">
        <v>0</v>
      </c>
      <c r="Q13" s="94">
        <v>0</v>
      </c>
      <c r="R13" s="94">
        <v>10000000</v>
      </c>
      <c r="S13" s="94">
        <v>0</v>
      </c>
      <c r="T13" s="94">
        <v>0</v>
      </c>
      <c r="U13" s="94">
        <v>0</v>
      </c>
      <c r="V13" s="259">
        <v>0</v>
      </c>
      <c r="W13" s="300" t="s">
        <v>1370</v>
      </c>
    </row>
    <row r="14" spans="1:23" ht="18">
      <c r="A14" s="12"/>
      <c r="B14" s="12"/>
      <c r="C14" s="12" t="s">
        <v>522</v>
      </c>
      <c r="D14" s="19" t="s">
        <v>1113</v>
      </c>
      <c r="E14" s="93">
        <f t="shared" si="0"/>
        <v>30000000</v>
      </c>
      <c r="F14" s="94">
        <v>0</v>
      </c>
      <c r="G14" s="94">
        <v>0</v>
      </c>
      <c r="H14" s="94">
        <v>0</v>
      </c>
      <c r="I14" s="94">
        <v>30000000</v>
      </c>
      <c r="J14" s="94">
        <v>0</v>
      </c>
      <c r="K14" s="94">
        <v>0</v>
      </c>
      <c r="L14" s="94">
        <v>0</v>
      </c>
      <c r="M14" s="259">
        <v>0</v>
      </c>
      <c r="N14" s="93">
        <f t="shared" si="2"/>
        <v>30000000</v>
      </c>
      <c r="O14" s="94">
        <v>0</v>
      </c>
      <c r="P14" s="94">
        <v>0</v>
      </c>
      <c r="Q14" s="94">
        <v>0</v>
      </c>
      <c r="R14" s="94">
        <v>30000000</v>
      </c>
      <c r="S14" s="94">
        <v>0</v>
      </c>
      <c r="T14" s="94">
        <v>0</v>
      </c>
      <c r="U14" s="94">
        <v>0</v>
      </c>
      <c r="V14" s="259">
        <v>0</v>
      </c>
      <c r="W14" s="300">
        <v>55023</v>
      </c>
    </row>
    <row r="15" spans="1:23" ht="18">
      <c r="A15" s="12"/>
      <c r="B15" s="12"/>
      <c r="C15" s="12" t="s">
        <v>523</v>
      </c>
      <c r="D15" s="19" t="s">
        <v>524</v>
      </c>
      <c r="E15" s="93">
        <f t="shared" si="0"/>
        <v>12000000</v>
      </c>
      <c r="F15" s="94">
        <v>0</v>
      </c>
      <c r="G15" s="94">
        <v>0</v>
      </c>
      <c r="H15" s="94">
        <v>0</v>
      </c>
      <c r="I15" s="94">
        <v>12000000</v>
      </c>
      <c r="J15" s="94">
        <v>0</v>
      </c>
      <c r="K15" s="94">
        <v>0</v>
      </c>
      <c r="L15" s="94">
        <v>0</v>
      </c>
      <c r="M15" s="259">
        <v>0</v>
      </c>
      <c r="N15" s="93">
        <f t="shared" si="2"/>
        <v>12000000</v>
      </c>
      <c r="O15" s="94">
        <v>0</v>
      </c>
      <c r="P15" s="94">
        <v>0</v>
      </c>
      <c r="Q15" s="94">
        <v>0</v>
      </c>
      <c r="R15" s="94">
        <v>12000000</v>
      </c>
      <c r="S15" s="94">
        <v>0</v>
      </c>
      <c r="T15" s="94">
        <v>0</v>
      </c>
      <c r="U15" s="94">
        <v>0</v>
      </c>
      <c r="V15" s="259">
        <v>0</v>
      </c>
      <c r="W15" s="300" t="s">
        <v>1371</v>
      </c>
    </row>
    <row r="16" spans="1:23" s="129" customFormat="1" ht="18">
      <c r="A16" s="118"/>
      <c r="B16" s="118" t="s">
        <v>525</v>
      </c>
      <c r="C16" s="118"/>
      <c r="D16" s="126" t="s">
        <v>526</v>
      </c>
      <c r="E16" s="24">
        <f t="shared" si="0"/>
        <v>12232088</v>
      </c>
      <c r="F16" s="131">
        <f>SUM(F18:F20)</f>
        <v>0</v>
      </c>
      <c r="G16" s="131">
        <f>SUM(G18:G20)</f>
        <v>0</v>
      </c>
      <c r="H16" s="131">
        <f>SUM(H18:H20)</f>
        <v>0</v>
      </c>
      <c r="I16" s="131">
        <f>SUM(I17:I20)</f>
        <v>12232088</v>
      </c>
      <c r="J16" s="131">
        <f>SUM(J18:J20)</f>
        <v>0</v>
      </c>
      <c r="K16" s="131">
        <f>SUM(K18:K20)</f>
        <v>0</v>
      </c>
      <c r="L16" s="131">
        <f>SUM(L18:L20)</f>
        <v>0</v>
      </c>
      <c r="M16" s="258">
        <f>SUM(M18:M20)</f>
        <v>0</v>
      </c>
      <c r="N16" s="24">
        <f t="shared" si="2"/>
        <v>12947365</v>
      </c>
      <c r="O16" s="131">
        <f>SUM(O18:O20)</f>
        <v>0</v>
      </c>
      <c r="P16" s="131">
        <f>SUM(P18:P20)</f>
        <v>0</v>
      </c>
      <c r="Q16" s="131">
        <f>SUM(Q18:Q20)</f>
        <v>0</v>
      </c>
      <c r="R16" s="131">
        <f>SUM(R17:R20)</f>
        <v>12947365</v>
      </c>
      <c r="S16" s="131">
        <f>SUM(S18:S20)</f>
        <v>0</v>
      </c>
      <c r="T16" s="131">
        <f>SUM(T18:T20)</f>
        <v>0</v>
      </c>
      <c r="U16" s="131">
        <f>SUM(U18:U20)</f>
        <v>0</v>
      </c>
      <c r="V16" s="258">
        <f>SUM(V18:V20)</f>
        <v>0</v>
      </c>
      <c r="W16" s="300"/>
    </row>
    <row r="17" spans="1:23" ht="18">
      <c r="A17" s="12"/>
      <c r="B17" s="12"/>
      <c r="C17" s="12" t="s">
        <v>527</v>
      </c>
      <c r="D17" s="19" t="s">
        <v>528</v>
      </c>
      <c r="E17" s="93">
        <f t="shared" si="0"/>
        <v>3677000</v>
      </c>
      <c r="F17" s="94">
        <v>0</v>
      </c>
      <c r="G17" s="94">
        <v>0</v>
      </c>
      <c r="H17" s="94">
        <v>0</v>
      </c>
      <c r="I17" s="94">
        <f>677000+3000000</f>
        <v>3677000</v>
      </c>
      <c r="J17" s="94">
        <v>0</v>
      </c>
      <c r="K17" s="94">
        <v>0</v>
      </c>
      <c r="L17" s="94">
        <v>0</v>
      </c>
      <c r="M17" s="197">
        <v>0</v>
      </c>
      <c r="N17" s="93">
        <f t="shared" si="2"/>
        <v>3677000</v>
      </c>
      <c r="O17" s="94">
        <v>0</v>
      </c>
      <c r="P17" s="94">
        <v>0</v>
      </c>
      <c r="Q17" s="94">
        <v>0</v>
      </c>
      <c r="R17" s="94">
        <f>677000+3000000</f>
        <v>3677000</v>
      </c>
      <c r="S17" s="94">
        <v>0</v>
      </c>
      <c r="T17" s="94">
        <v>0</v>
      </c>
      <c r="U17" s="94">
        <v>0</v>
      </c>
      <c r="V17" s="197">
        <v>0</v>
      </c>
      <c r="W17" s="300" t="s">
        <v>1372</v>
      </c>
    </row>
    <row r="18" spans="1:23" ht="18">
      <c r="A18" s="12"/>
      <c r="B18" s="12"/>
      <c r="C18" s="12" t="s">
        <v>529</v>
      </c>
      <c r="D18" s="19" t="s">
        <v>530</v>
      </c>
      <c r="E18" s="93">
        <f t="shared" si="0"/>
        <v>5010088</v>
      </c>
      <c r="F18" s="94">
        <v>0</v>
      </c>
      <c r="G18" s="94">
        <v>0</v>
      </c>
      <c r="H18" s="94">
        <v>0</v>
      </c>
      <c r="I18" s="94">
        <f>10088+5000000</f>
        <v>5010088</v>
      </c>
      <c r="J18" s="94">
        <v>0</v>
      </c>
      <c r="K18" s="94">
        <v>0</v>
      </c>
      <c r="L18" s="94">
        <v>0</v>
      </c>
      <c r="M18" s="197">
        <v>0</v>
      </c>
      <c r="N18" s="93">
        <f t="shared" si="2"/>
        <v>5010088</v>
      </c>
      <c r="O18" s="94">
        <v>0</v>
      </c>
      <c r="P18" s="94">
        <v>0</v>
      </c>
      <c r="Q18" s="94">
        <v>0</v>
      </c>
      <c r="R18" s="94">
        <f>10088+5000000</f>
        <v>5010088</v>
      </c>
      <c r="S18" s="94">
        <v>0</v>
      </c>
      <c r="T18" s="94">
        <v>0</v>
      </c>
      <c r="U18" s="94">
        <v>0</v>
      </c>
      <c r="V18" s="197">
        <v>0</v>
      </c>
      <c r="W18" s="300" t="s">
        <v>1373</v>
      </c>
    </row>
    <row r="19" spans="1:23" ht="18">
      <c r="A19" s="12"/>
      <c r="B19" s="12"/>
      <c r="C19" s="12" t="s">
        <v>531</v>
      </c>
      <c r="D19" s="19" t="s">
        <v>532</v>
      </c>
      <c r="E19" s="93">
        <f t="shared" si="0"/>
        <v>3045000</v>
      </c>
      <c r="F19" s="94">
        <v>0</v>
      </c>
      <c r="G19" s="94">
        <v>0</v>
      </c>
      <c r="H19" s="94">
        <v>0</v>
      </c>
      <c r="I19" s="94">
        <f>1545000+1500000</f>
        <v>3045000</v>
      </c>
      <c r="J19" s="94">
        <v>0</v>
      </c>
      <c r="K19" s="94">
        <v>0</v>
      </c>
      <c r="L19" s="94">
        <v>0</v>
      </c>
      <c r="M19" s="197">
        <v>0</v>
      </c>
      <c r="N19" s="93">
        <f t="shared" si="2"/>
        <v>3045000</v>
      </c>
      <c r="O19" s="94">
        <v>0</v>
      </c>
      <c r="P19" s="94">
        <v>0</v>
      </c>
      <c r="Q19" s="94">
        <v>0</v>
      </c>
      <c r="R19" s="94">
        <f>1545000+1500000</f>
        <v>3045000</v>
      </c>
      <c r="S19" s="94">
        <v>0</v>
      </c>
      <c r="T19" s="94">
        <v>0</v>
      </c>
      <c r="U19" s="94">
        <v>0</v>
      </c>
      <c r="V19" s="197">
        <v>0</v>
      </c>
      <c r="W19" s="300" t="s">
        <v>1374</v>
      </c>
    </row>
    <row r="20" spans="1:23" ht="18.75" customHeight="1">
      <c r="A20" s="12"/>
      <c r="B20" s="12"/>
      <c r="C20" s="12" t="s">
        <v>533</v>
      </c>
      <c r="D20" s="19" t="s">
        <v>534</v>
      </c>
      <c r="E20" s="93">
        <f t="shared" si="0"/>
        <v>500000</v>
      </c>
      <c r="F20" s="94">
        <v>0</v>
      </c>
      <c r="G20" s="94">
        <v>0</v>
      </c>
      <c r="H20" s="94">
        <v>0</v>
      </c>
      <c r="I20" s="94">
        <v>500000</v>
      </c>
      <c r="J20" s="94">
        <v>0</v>
      </c>
      <c r="K20" s="94">
        <v>0</v>
      </c>
      <c r="L20" s="94">
        <v>0</v>
      </c>
      <c r="M20" s="197">
        <v>0</v>
      </c>
      <c r="N20" s="93">
        <f t="shared" si="2"/>
        <v>1215277</v>
      </c>
      <c r="O20" s="94">
        <v>0</v>
      </c>
      <c r="P20" s="94">
        <v>0</v>
      </c>
      <c r="Q20" s="94">
        <v>0</v>
      </c>
      <c r="R20" s="94">
        <f>500000+715277</f>
        <v>1215277</v>
      </c>
      <c r="S20" s="94">
        <v>0</v>
      </c>
      <c r="T20" s="94">
        <v>0</v>
      </c>
      <c r="U20" s="94">
        <v>0</v>
      </c>
      <c r="V20" s="197">
        <v>0</v>
      </c>
      <c r="W20" s="300" t="s">
        <v>1375</v>
      </c>
    </row>
    <row r="21" spans="1:23" s="129" customFormat="1" ht="18">
      <c r="A21" s="118"/>
      <c r="B21" s="118" t="s">
        <v>535</v>
      </c>
      <c r="C21" s="118"/>
      <c r="D21" s="126" t="s">
        <v>536</v>
      </c>
      <c r="E21" s="24">
        <f t="shared" si="0"/>
        <v>20064000</v>
      </c>
      <c r="F21" s="131">
        <v>0</v>
      </c>
      <c r="G21" s="131">
        <v>0</v>
      </c>
      <c r="H21" s="131">
        <v>0</v>
      </c>
      <c r="I21" s="94">
        <f>64000+20000000</f>
        <v>20064000</v>
      </c>
      <c r="J21" s="131">
        <v>0</v>
      </c>
      <c r="K21" s="131">
        <v>0</v>
      </c>
      <c r="L21" s="131">
        <v>0</v>
      </c>
      <c r="M21" s="258">
        <v>0</v>
      </c>
      <c r="N21" s="24">
        <f t="shared" si="2"/>
        <v>20064000</v>
      </c>
      <c r="O21" s="131">
        <v>0</v>
      </c>
      <c r="P21" s="131">
        <v>0</v>
      </c>
      <c r="Q21" s="131">
        <v>0</v>
      </c>
      <c r="R21" s="94">
        <f>64000+20000000</f>
        <v>20064000</v>
      </c>
      <c r="S21" s="131">
        <v>0</v>
      </c>
      <c r="T21" s="131">
        <v>0</v>
      </c>
      <c r="U21" s="131">
        <v>0</v>
      </c>
      <c r="V21" s="258">
        <v>0</v>
      </c>
      <c r="W21" s="300" t="s">
        <v>1379</v>
      </c>
    </row>
    <row r="22" spans="1:23" s="129" customFormat="1" ht="18">
      <c r="A22" s="118"/>
      <c r="B22" s="118" t="s">
        <v>537</v>
      </c>
      <c r="C22" s="118"/>
      <c r="D22" s="126" t="s">
        <v>1112</v>
      </c>
      <c r="E22" s="24">
        <f t="shared" si="0"/>
        <v>44012000</v>
      </c>
      <c r="F22" s="94">
        <v>0</v>
      </c>
      <c r="G22" s="94">
        <v>0</v>
      </c>
      <c r="H22" s="94">
        <v>0</v>
      </c>
      <c r="I22" s="94">
        <f>24012000+20000000</f>
        <v>44012000</v>
      </c>
      <c r="J22" s="94">
        <v>0</v>
      </c>
      <c r="K22" s="94">
        <v>0</v>
      </c>
      <c r="L22" s="94">
        <v>0</v>
      </c>
      <c r="M22" s="197">
        <v>0</v>
      </c>
      <c r="N22" s="24">
        <f t="shared" si="2"/>
        <v>44012000</v>
      </c>
      <c r="O22" s="94">
        <v>0</v>
      </c>
      <c r="P22" s="94">
        <v>0</v>
      </c>
      <c r="Q22" s="94">
        <v>0</v>
      </c>
      <c r="R22" s="94">
        <f>24012000+20000000</f>
        <v>44012000</v>
      </c>
      <c r="S22" s="94">
        <v>0</v>
      </c>
      <c r="T22" s="94">
        <v>0</v>
      </c>
      <c r="U22" s="94">
        <v>0</v>
      </c>
      <c r="V22" s="197">
        <v>0</v>
      </c>
      <c r="W22" s="300">
        <v>55105</v>
      </c>
    </row>
    <row r="23" spans="1:23" s="129" customFormat="1" ht="18">
      <c r="A23" s="118" t="s">
        <v>103</v>
      </c>
      <c r="B23" s="118"/>
      <c r="C23" s="118"/>
      <c r="D23" s="119" t="s">
        <v>42</v>
      </c>
      <c r="E23" s="24">
        <f t="shared" si="0"/>
        <v>183039173</v>
      </c>
      <c r="F23" s="120">
        <f aca="true" t="shared" si="6" ref="F23:M23">SUM(F24:F26)</f>
        <v>0</v>
      </c>
      <c r="G23" s="120">
        <f t="shared" si="6"/>
        <v>0</v>
      </c>
      <c r="H23" s="120">
        <f t="shared" si="6"/>
        <v>0</v>
      </c>
      <c r="I23" s="120">
        <f t="shared" si="6"/>
        <v>183039173</v>
      </c>
      <c r="J23" s="120">
        <f t="shared" si="6"/>
        <v>0</v>
      </c>
      <c r="K23" s="120">
        <f t="shared" si="6"/>
        <v>0</v>
      </c>
      <c r="L23" s="120">
        <f t="shared" si="6"/>
        <v>0</v>
      </c>
      <c r="M23" s="127">
        <f t="shared" si="6"/>
        <v>0</v>
      </c>
      <c r="N23" s="24">
        <f t="shared" si="2"/>
        <v>183039173</v>
      </c>
      <c r="O23" s="120">
        <f aca="true" t="shared" si="7" ref="O23:V23">SUM(O24:O26)</f>
        <v>0</v>
      </c>
      <c r="P23" s="120">
        <f t="shared" si="7"/>
        <v>0</v>
      </c>
      <c r="Q23" s="120">
        <f t="shared" si="7"/>
        <v>0</v>
      </c>
      <c r="R23" s="120">
        <f t="shared" si="7"/>
        <v>183039173</v>
      </c>
      <c r="S23" s="120">
        <f t="shared" si="7"/>
        <v>0</v>
      </c>
      <c r="T23" s="120">
        <f t="shared" si="7"/>
        <v>0</v>
      </c>
      <c r="U23" s="120">
        <f t="shared" si="7"/>
        <v>0</v>
      </c>
      <c r="V23" s="127">
        <f t="shared" si="7"/>
        <v>0</v>
      </c>
      <c r="W23" s="300"/>
    </row>
    <row r="24" spans="1:23" ht="30">
      <c r="A24" s="12"/>
      <c r="B24" s="12" t="s">
        <v>538</v>
      </c>
      <c r="C24" s="12"/>
      <c r="D24" s="19" t="s">
        <v>539</v>
      </c>
      <c r="E24" s="93">
        <f t="shared" si="0"/>
        <v>151039173</v>
      </c>
      <c r="F24" s="94">
        <v>0</v>
      </c>
      <c r="G24" s="94">
        <v>0</v>
      </c>
      <c r="H24" s="94">
        <v>0</v>
      </c>
      <c r="I24" s="94">
        <f>31057173+150000000-30000000-18000</f>
        <v>151039173</v>
      </c>
      <c r="J24" s="94">
        <v>0</v>
      </c>
      <c r="K24" s="94">
        <v>0</v>
      </c>
      <c r="L24" s="94">
        <v>0</v>
      </c>
      <c r="M24" s="197">
        <v>0</v>
      </c>
      <c r="N24" s="93">
        <f t="shared" si="2"/>
        <v>151039173</v>
      </c>
      <c r="O24" s="94">
        <v>0</v>
      </c>
      <c r="P24" s="94">
        <v>0</v>
      </c>
      <c r="Q24" s="94">
        <v>0</v>
      </c>
      <c r="R24" s="94">
        <f>31057173+150000000-30000000-18000</f>
        <v>151039173</v>
      </c>
      <c r="S24" s="94">
        <v>0</v>
      </c>
      <c r="T24" s="94">
        <v>0</v>
      </c>
      <c r="U24" s="94">
        <v>0</v>
      </c>
      <c r="V24" s="197">
        <v>0</v>
      </c>
      <c r="W24" s="300" t="s">
        <v>1376</v>
      </c>
    </row>
    <row r="25" spans="1:23" ht="18">
      <c r="A25" s="12"/>
      <c r="B25" s="12" t="s">
        <v>540</v>
      </c>
      <c r="C25" s="12"/>
      <c r="D25" s="19" t="s">
        <v>541</v>
      </c>
      <c r="E25" s="93">
        <f t="shared" si="0"/>
        <v>28000000</v>
      </c>
      <c r="F25" s="94">
        <v>0</v>
      </c>
      <c r="G25" s="94">
        <v>0</v>
      </c>
      <c r="H25" s="94">
        <v>0</v>
      </c>
      <c r="I25" s="94">
        <v>28000000</v>
      </c>
      <c r="J25" s="94">
        <v>0</v>
      </c>
      <c r="K25" s="94">
        <v>0</v>
      </c>
      <c r="L25" s="94">
        <v>0</v>
      </c>
      <c r="M25" s="197">
        <v>0</v>
      </c>
      <c r="N25" s="93">
        <f t="shared" si="2"/>
        <v>28000000</v>
      </c>
      <c r="O25" s="94">
        <v>0</v>
      </c>
      <c r="P25" s="94">
        <v>0</v>
      </c>
      <c r="Q25" s="94">
        <v>0</v>
      </c>
      <c r="R25" s="94">
        <v>28000000</v>
      </c>
      <c r="S25" s="94">
        <v>0</v>
      </c>
      <c r="T25" s="94">
        <v>0</v>
      </c>
      <c r="U25" s="94">
        <v>0</v>
      </c>
      <c r="V25" s="197">
        <v>0</v>
      </c>
      <c r="W25" s="300" t="s">
        <v>1377</v>
      </c>
    </row>
    <row r="26" spans="1:23" ht="18">
      <c r="A26" s="12"/>
      <c r="B26" s="12" t="s">
        <v>542</v>
      </c>
      <c r="C26" s="12"/>
      <c r="D26" s="19" t="s">
        <v>543</v>
      </c>
      <c r="E26" s="93">
        <f t="shared" si="0"/>
        <v>4000000</v>
      </c>
      <c r="F26" s="94">
        <v>0</v>
      </c>
      <c r="G26" s="94">
        <v>0</v>
      </c>
      <c r="H26" s="94">
        <v>0</v>
      </c>
      <c r="I26" s="94">
        <v>4000000</v>
      </c>
      <c r="J26" s="94">
        <v>0</v>
      </c>
      <c r="K26" s="94">
        <v>0</v>
      </c>
      <c r="L26" s="94">
        <v>0</v>
      </c>
      <c r="M26" s="197">
        <v>0</v>
      </c>
      <c r="N26" s="93">
        <f t="shared" si="2"/>
        <v>4000000</v>
      </c>
      <c r="O26" s="94">
        <v>0</v>
      </c>
      <c r="P26" s="94">
        <v>0</v>
      </c>
      <c r="Q26" s="94">
        <v>0</v>
      </c>
      <c r="R26" s="94">
        <v>4000000</v>
      </c>
      <c r="S26" s="94">
        <v>0</v>
      </c>
      <c r="T26" s="94">
        <v>0</v>
      </c>
      <c r="U26" s="94">
        <v>0</v>
      </c>
      <c r="V26" s="197">
        <v>0</v>
      </c>
      <c r="W26" s="300" t="s">
        <v>1378</v>
      </c>
    </row>
    <row r="27" spans="1:23" s="129" customFormat="1" ht="18">
      <c r="A27" s="118" t="s">
        <v>104</v>
      </c>
      <c r="B27" s="118"/>
      <c r="C27" s="118"/>
      <c r="D27" s="119" t="s">
        <v>44</v>
      </c>
      <c r="E27" s="24">
        <f t="shared" si="0"/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3">
        <v>0</v>
      </c>
      <c r="N27" s="24">
        <f t="shared" si="2"/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3">
        <v>0</v>
      </c>
      <c r="W27" s="300"/>
    </row>
    <row r="28" spans="1:23" ht="34.5" customHeight="1">
      <c r="A28" s="402" t="s">
        <v>315</v>
      </c>
      <c r="B28" s="402"/>
      <c r="C28" s="402"/>
      <c r="D28" s="402"/>
      <c r="E28" s="24">
        <f t="shared" si="0"/>
        <v>391347261</v>
      </c>
      <c r="F28" s="120">
        <f aca="true" t="shared" si="8" ref="F28:M28">F10+F23+F27</f>
        <v>0</v>
      </c>
      <c r="G28" s="120">
        <f t="shared" si="8"/>
        <v>0</v>
      </c>
      <c r="H28" s="120">
        <f t="shared" si="8"/>
        <v>0</v>
      </c>
      <c r="I28" s="120">
        <f t="shared" si="8"/>
        <v>391347261</v>
      </c>
      <c r="J28" s="120">
        <f t="shared" si="8"/>
        <v>0</v>
      </c>
      <c r="K28" s="120">
        <f t="shared" si="8"/>
        <v>0</v>
      </c>
      <c r="L28" s="120">
        <f t="shared" si="8"/>
        <v>0</v>
      </c>
      <c r="M28" s="127">
        <f t="shared" si="8"/>
        <v>0</v>
      </c>
      <c r="N28" s="24">
        <f t="shared" si="2"/>
        <v>392062538</v>
      </c>
      <c r="O28" s="120">
        <f aca="true" t="shared" si="9" ref="O28:V28">O10+O23+O27</f>
        <v>0</v>
      </c>
      <c r="P28" s="120">
        <f t="shared" si="9"/>
        <v>0</v>
      </c>
      <c r="Q28" s="120">
        <f t="shared" si="9"/>
        <v>0</v>
      </c>
      <c r="R28" s="120">
        <f t="shared" si="9"/>
        <v>392062538</v>
      </c>
      <c r="S28" s="120">
        <f t="shared" si="9"/>
        <v>0</v>
      </c>
      <c r="T28" s="120">
        <f t="shared" si="9"/>
        <v>0</v>
      </c>
      <c r="U28" s="120">
        <f t="shared" si="9"/>
        <v>0</v>
      </c>
      <c r="V28" s="127">
        <f t="shared" si="9"/>
        <v>0</v>
      </c>
      <c r="W28" s="260"/>
    </row>
    <row r="29" ht="18" customHeight="1">
      <c r="W29" s="249"/>
    </row>
    <row r="30" ht="18">
      <c r="W30" s="249"/>
    </row>
    <row r="32" s="151" customFormat="1" ht="23.25" customHeight="1">
      <c r="W32" s="250"/>
    </row>
    <row r="33" s="151" customFormat="1" ht="27.75" customHeight="1">
      <c r="W33" s="250"/>
    </row>
    <row r="34" s="151" customFormat="1" ht="18">
      <c r="W34" s="250"/>
    </row>
    <row r="35" s="151" customFormat="1" ht="18">
      <c r="W35" s="250"/>
    </row>
  </sheetData>
  <sheetProtection selectLockedCells="1" selectUnlockedCells="1"/>
  <mergeCells count="18">
    <mergeCell ref="A1:W1"/>
    <mergeCell ref="A28:D28"/>
    <mergeCell ref="B7:B9"/>
    <mergeCell ref="F7:M7"/>
    <mergeCell ref="C7:C9"/>
    <mergeCell ref="D7:D9"/>
    <mergeCell ref="A2:W2"/>
    <mergeCell ref="A7:A9"/>
    <mergeCell ref="W7:W10"/>
    <mergeCell ref="N7:N9"/>
    <mergeCell ref="O7:V7"/>
    <mergeCell ref="O8:S8"/>
    <mergeCell ref="T8:V8"/>
    <mergeCell ref="A3:W3"/>
    <mergeCell ref="A4:W4"/>
    <mergeCell ref="E7:E9"/>
    <mergeCell ref="F8:J8"/>
    <mergeCell ref="K8:M8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paperSize="8" scale="3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8"/>
  <sheetViews>
    <sheetView view="pageBreakPreview" zoomScale="80" zoomScaleNormal="71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A1" sqref="A1:W1"/>
    </sheetView>
  </sheetViews>
  <sheetFormatPr defaultColWidth="9.140625" defaultRowHeight="12.75"/>
  <cols>
    <col min="1" max="1" width="7.140625" style="0" customWidth="1"/>
    <col min="2" max="2" width="10.57421875" style="0" customWidth="1"/>
    <col min="3" max="3" width="12.8515625" style="0" customWidth="1"/>
    <col min="4" max="4" width="62.28125" style="0" customWidth="1"/>
    <col min="5" max="5" width="16.8515625" style="0" customWidth="1"/>
    <col min="6" max="7" width="14.57421875" style="0" customWidth="1"/>
    <col min="8" max="8" width="15.28125" style="0" customWidth="1"/>
    <col min="9" max="13" width="14.57421875" style="0" customWidth="1"/>
    <col min="14" max="14" width="16.8515625" style="0" customWidth="1"/>
    <col min="15" max="16" width="14.57421875" style="0" customWidth="1"/>
    <col min="17" max="17" width="15.28125" style="0" customWidth="1"/>
    <col min="18" max="22" width="14.57421875" style="0" customWidth="1"/>
    <col min="23" max="23" width="15.7109375" style="0" customWidth="1"/>
    <col min="24" max="26" width="10.140625" style="0" bestFit="1" customWidth="1"/>
  </cols>
  <sheetData>
    <row r="1" spans="1:23" ht="18">
      <c r="A1" s="347" t="s">
        <v>1565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</row>
    <row r="2" spans="1:23" ht="18">
      <c r="A2" s="358" t="s">
        <v>1539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</row>
    <row r="3" spans="1:23" ht="18" customHeight="1">
      <c r="A3" s="423" t="s">
        <v>544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</row>
    <row r="4" spans="1:23" ht="18">
      <c r="A4" s="424" t="s">
        <v>1084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</row>
    <row r="5" spans="1:23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3"/>
      <c r="O5" s="3"/>
      <c r="P5" s="3"/>
      <c r="Q5" s="3"/>
      <c r="R5" s="3"/>
      <c r="S5" s="3"/>
      <c r="T5" s="3"/>
      <c r="U5" s="3"/>
      <c r="W5" s="312" t="s">
        <v>1</v>
      </c>
    </row>
    <row r="6" spans="1:23" ht="15" customHeight="1">
      <c r="A6" s="265" t="s">
        <v>2</v>
      </c>
      <c r="B6" s="265" t="s">
        <v>3</v>
      </c>
      <c r="C6" s="265" t="s">
        <v>4</v>
      </c>
      <c r="D6" s="265" t="s">
        <v>5</v>
      </c>
      <c r="E6" s="265" t="s">
        <v>6</v>
      </c>
      <c r="F6" s="265" t="s">
        <v>7</v>
      </c>
      <c r="G6" s="265" t="s">
        <v>8</v>
      </c>
      <c r="H6" s="265" t="s">
        <v>9</v>
      </c>
      <c r="I6" s="265" t="s">
        <v>10</v>
      </c>
      <c r="J6" s="266" t="s">
        <v>11</v>
      </c>
      <c r="K6" s="265" t="s">
        <v>12</v>
      </c>
      <c r="L6" s="267" t="s">
        <v>13</v>
      </c>
      <c r="M6" s="268" t="s">
        <v>14</v>
      </c>
      <c r="N6" s="265" t="s">
        <v>15</v>
      </c>
      <c r="O6" s="265" t="s">
        <v>16</v>
      </c>
      <c r="P6" s="265" t="s">
        <v>17</v>
      </c>
      <c r="Q6" s="265" t="s">
        <v>18</v>
      </c>
      <c r="R6" s="265" t="s">
        <v>19</v>
      </c>
      <c r="S6" s="266" t="s">
        <v>20</v>
      </c>
      <c r="T6" s="265" t="s">
        <v>21</v>
      </c>
      <c r="U6" s="267" t="s">
        <v>22</v>
      </c>
      <c r="V6" s="268" t="s">
        <v>181</v>
      </c>
      <c r="W6" s="297" t="s">
        <v>182</v>
      </c>
    </row>
    <row r="7" spans="1:23" ht="12.75" customHeight="1">
      <c r="A7" s="434" t="s">
        <v>24</v>
      </c>
      <c r="B7" s="434" t="s">
        <v>185</v>
      </c>
      <c r="C7" s="434" t="s">
        <v>354</v>
      </c>
      <c r="D7" s="403" t="s">
        <v>25</v>
      </c>
      <c r="E7" s="403" t="s">
        <v>1099</v>
      </c>
      <c r="F7" s="403" t="s">
        <v>26</v>
      </c>
      <c r="G7" s="403"/>
      <c r="H7" s="403"/>
      <c r="I7" s="403"/>
      <c r="J7" s="403"/>
      <c r="K7" s="403"/>
      <c r="L7" s="403"/>
      <c r="M7" s="403"/>
      <c r="N7" s="355" t="s">
        <v>1526</v>
      </c>
      <c r="O7" s="403" t="s">
        <v>1525</v>
      </c>
      <c r="P7" s="403"/>
      <c r="Q7" s="403"/>
      <c r="R7" s="403"/>
      <c r="S7" s="403"/>
      <c r="T7" s="403"/>
      <c r="U7" s="403"/>
      <c r="V7" s="404"/>
      <c r="W7" s="345" t="s">
        <v>1234</v>
      </c>
    </row>
    <row r="8" spans="1:23" ht="12.75" customHeight="1">
      <c r="A8" s="434"/>
      <c r="B8" s="434"/>
      <c r="C8" s="434"/>
      <c r="D8" s="403"/>
      <c r="E8" s="403"/>
      <c r="F8" s="427" t="s">
        <v>27</v>
      </c>
      <c r="G8" s="427"/>
      <c r="H8" s="427"/>
      <c r="I8" s="427"/>
      <c r="J8" s="427"/>
      <c r="K8" s="427" t="s">
        <v>28</v>
      </c>
      <c r="L8" s="427"/>
      <c r="M8" s="427"/>
      <c r="N8" s="355"/>
      <c r="O8" s="351" t="s">
        <v>27</v>
      </c>
      <c r="P8" s="351"/>
      <c r="Q8" s="351"/>
      <c r="R8" s="351"/>
      <c r="S8" s="351"/>
      <c r="T8" s="351" t="s">
        <v>28</v>
      </c>
      <c r="U8" s="351"/>
      <c r="V8" s="398"/>
      <c r="W8" s="345"/>
    </row>
    <row r="9" spans="1:23" ht="94.5" customHeight="1">
      <c r="A9" s="434"/>
      <c r="B9" s="434"/>
      <c r="C9" s="434"/>
      <c r="D9" s="403"/>
      <c r="E9" s="403"/>
      <c r="F9" s="81" t="s">
        <v>29</v>
      </c>
      <c r="G9" s="81" t="s">
        <v>30</v>
      </c>
      <c r="H9" s="81" t="s">
        <v>31</v>
      </c>
      <c r="I9" s="81" t="s">
        <v>32</v>
      </c>
      <c r="J9" s="81" t="s">
        <v>33</v>
      </c>
      <c r="K9" s="81" t="s">
        <v>34</v>
      </c>
      <c r="L9" s="81" t="s">
        <v>35</v>
      </c>
      <c r="M9" s="81" t="s">
        <v>36</v>
      </c>
      <c r="N9" s="355"/>
      <c r="O9" s="7" t="s">
        <v>29</v>
      </c>
      <c r="P9" s="7" t="s">
        <v>30</v>
      </c>
      <c r="Q9" s="7" t="s">
        <v>31</v>
      </c>
      <c r="R9" s="7" t="s">
        <v>32</v>
      </c>
      <c r="S9" s="7" t="s">
        <v>33</v>
      </c>
      <c r="T9" s="7" t="s">
        <v>34</v>
      </c>
      <c r="U9" s="7" t="s">
        <v>35</v>
      </c>
      <c r="V9" s="196" t="s">
        <v>36</v>
      </c>
      <c r="W9" s="345"/>
    </row>
    <row r="10" spans="1:23" ht="18">
      <c r="A10" s="12" t="s">
        <v>112</v>
      </c>
      <c r="B10" s="12"/>
      <c r="C10" s="12"/>
      <c r="D10" s="82" t="s">
        <v>40</v>
      </c>
      <c r="E10" s="24">
        <f>SUM(F10:M10)</f>
        <v>288639523</v>
      </c>
      <c r="F10" s="120">
        <f>SUM(F11:F26)+F36+F37+F38</f>
        <v>9576471</v>
      </c>
      <c r="G10" s="120">
        <f aca="true" t="shared" si="0" ref="G10:M10">SUM(G11:G26)+G36+G37+G38</f>
        <v>4968287</v>
      </c>
      <c r="H10" s="120">
        <f t="shared" si="0"/>
        <v>41291005</v>
      </c>
      <c r="I10" s="120">
        <f t="shared" si="0"/>
        <v>0</v>
      </c>
      <c r="J10" s="120">
        <f t="shared" si="0"/>
        <v>64070760</v>
      </c>
      <c r="K10" s="120">
        <f t="shared" si="0"/>
        <v>86233000</v>
      </c>
      <c r="L10" s="120">
        <f t="shared" si="0"/>
        <v>0</v>
      </c>
      <c r="M10" s="120">
        <f t="shared" si="0"/>
        <v>82500000</v>
      </c>
      <c r="N10" s="24">
        <f aca="true" t="shared" si="1" ref="N10:N15">SUM(O10:V10)</f>
        <v>291837023</v>
      </c>
      <c r="O10" s="120">
        <f>SUM(O11:O26)+O36+O37+O38</f>
        <v>9576471</v>
      </c>
      <c r="P10" s="120">
        <f aca="true" t="shared" si="2" ref="P10:V10">SUM(P11:P26)+P36+P37+P38</f>
        <v>4968287</v>
      </c>
      <c r="Q10" s="120">
        <f t="shared" si="2"/>
        <v>40588505</v>
      </c>
      <c r="R10" s="120">
        <f t="shared" si="2"/>
        <v>0</v>
      </c>
      <c r="S10" s="120">
        <f t="shared" si="2"/>
        <v>67970760</v>
      </c>
      <c r="T10" s="120">
        <f t="shared" si="2"/>
        <v>86233000</v>
      </c>
      <c r="U10" s="120">
        <f t="shared" si="2"/>
        <v>0</v>
      </c>
      <c r="V10" s="120">
        <f t="shared" si="2"/>
        <v>82500000</v>
      </c>
      <c r="W10" s="345"/>
    </row>
    <row r="11" spans="1:24" ht="30">
      <c r="A11" s="12"/>
      <c r="B11" s="12" t="s">
        <v>545</v>
      </c>
      <c r="C11" s="12"/>
      <c r="D11" s="19" t="s">
        <v>546</v>
      </c>
      <c r="E11" s="93">
        <f aca="true" t="shared" si="3" ref="E11:E40">SUM(F11:M11)</f>
        <v>12841733</v>
      </c>
      <c r="F11" s="94">
        <v>1776471</v>
      </c>
      <c r="G11" s="94">
        <v>732062</v>
      </c>
      <c r="H11" s="94">
        <f>7050000+283200</f>
        <v>7333200</v>
      </c>
      <c r="I11" s="94">
        <v>0</v>
      </c>
      <c r="J11" s="94">
        <v>3000000</v>
      </c>
      <c r="K11" s="94">
        <v>0</v>
      </c>
      <c r="L11" s="94">
        <v>0</v>
      </c>
      <c r="M11" s="197">
        <v>0</v>
      </c>
      <c r="N11" s="93">
        <f t="shared" si="1"/>
        <v>12841733</v>
      </c>
      <c r="O11" s="94">
        <v>1776471</v>
      </c>
      <c r="P11" s="94">
        <v>732062</v>
      </c>
      <c r="Q11" s="94">
        <f>7050000+283200</f>
        <v>7333200</v>
      </c>
      <c r="R11" s="94">
        <v>0</v>
      </c>
      <c r="S11" s="94">
        <v>3000000</v>
      </c>
      <c r="T11" s="94">
        <v>0</v>
      </c>
      <c r="U11" s="94">
        <v>0</v>
      </c>
      <c r="V11" s="197">
        <v>0</v>
      </c>
      <c r="W11" s="298" t="s">
        <v>1380</v>
      </c>
      <c r="X11" s="128"/>
    </row>
    <row r="12" spans="1:24" ht="18">
      <c r="A12" s="12"/>
      <c r="B12" s="12" t="s">
        <v>547</v>
      </c>
      <c r="C12" s="12"/>
      <c r="D12" s="19" t="s">
        <v>548</v>
      </c>
      <c r="E12" s="93">
        <f t="shared" si="3"/>
        <v>4245920</v>
      </c>
      <c r="F12" s="94">
        <v>300000</v>
      </c>
      <c r="G12" s="94">
        <v>150000</v>
      </c>
      <c r="H12" s="94">
        <f>2674000+1121920</f>
        <v>3795920</v>
      </c>
      <c r="I12" s="94">
        <v>0</v>
      </c>
      <c r="J12" s="94">
        <v>0</v>
      </c>
      <c r="K12" s="94">
        <v>0</v>
      </c>
      <c r="L12" s="94">
        <v>0</v>
      </c>
      <c r="M12" s="197">
        <v>0</v>
      </c>
      <c r="N12" s="93">
        <f t="shared" si="1"/>
        <v>4245920</v>
      </c>
      <c r="O12" s="94">
        <v>300000</v>
      </c>
      <c r="P12" s="94">
        <v>150000</v>
      </c>
      <c r="Q12" s="94">
        <f>2674000+1121920</f>
        <v>3795920</v>
      </c>
      <c r="R12" s="94">
        <v>0</v>
      </c>
      <c r="S12" s="94">
        <v>0</v>
      </c>
      <c r="T12" s="94">
        <v>0</v>
      </c>
      <c r="U12" s="94">
        <v>0</v>
      </c>
      <c r="V12" s="197">
        <v>0</v>
      </c>
      <c r="W12" s="298" t="s">
        <v>1381</v>
      </c>
      <c r="X12" s="128"/>
    </row>
    <row r="13" spans="1:24" ht="30">
      <c r="A13" s="12"/>
      <c r="B13" s="12" t="s">
        <v>549</v>
      </c>
      <c r="C13" s="12"/>
      <c r="D13" s="19" t="s">
        <v>1122</v>
      </c>
      <c r="E13" s="93">
        <f t="shared" si="3"/>
        <v>5945000</v>
      </c>
      <c r="F13" s="94">
        <v>0</v>
      </c>
      <c r="G13" s="94">
        <v>0</v>
      </c>
      <c r="H13" s="94">
        <f>2500000+2600000+345000</f>
        <v>5445000</v>
      </c>
      <c r="I13" s="94">
        <v>0</v>
      </c>
      <c r="J13" s="94">
        <v>500000</v>
      </c>
      <c r="K13" s="94">
        <v>0</v>
      </c>
      <c r="L13" s="94">
        <v>0</v>
      </c>
      <c r="M13" s="197">
        <v>0</v>
      </c>
      <c r="N13" s="93">
        <f t="shared" si="1"/>
        <v>5945000</v>
      </c>
      <c r="O13" s="94">
        <v>0</v>
      </c>
      <c r="P13" s="94">
        <v>0</v>
      </c>
      <c r="Q13" s="94">
        <f>2500000+2600000+345000</f>
        <v>5445000</v>
      </c>
      <c r="R13" s="94">
        <v>0</v>
      </c>
      <c r="S13" s="94">
        <v>500000</v>
      </c>
      <c r="T13" s="94">
        <v>0</v>
      </c>
      <c r="U13" s="94">
        <v>0</v>
      </c>
      <c r="V13" s="197">
        <v>0</v>
      </c>
      <c r="W13" s="298" t="s">
        <v>1382</v>
      </c>
      <c r="X13" s="128"/>
    </row>
    <row r="14" spans="1:24" ht="18">
      <c r="A14" s="12"/>
      <c r="B14" s="12" t="s">
        <v>550</v>
      </c>
      <c r="C14" s="12"/>
      <c r="D14" s="19" t="s">
        <v>894</v>
      </c>
      <c r="E14" s="93">
        <f t="shared" si="3"/>
        <v>615945</v>
      </c>
      <c r="F14" s="94">
        <v>0</v>
      </c>
      <c r="G14" s="94">
        <v>0</v>
      </c>
      <c r="H14" s="94">
        <f>500000+115945</f>
        <v>615945</v>
      </c>
      <c r="I14" s="94">
        <v>0</v>
      </c>
      <c r="J14" s="94">
        <v>0</v>
      </c>
      <c r="K14" s="94">
        <v>0</v>
      </c>
      <c r="L14" s="94">
        <v>0</v>
      </c>
      <c r="M14" s="197">
        <v>0</v>
      </c>
      <c r="N14" s="93">
        <f t="shared" si="1"/>
        <v>615945</v>
      </c>
      <c r="O14" s="94">
        <v>0</v>
      </c>
      <c r="P14" s="94">
        <v>0</v>
      </c>
      <c r="Q14" s="94">
        <f>500000+115945</f>
        <v>615945</v>
      </c>
      <c r="R14" s="94">
        <v>0</v>
      </c>
      <c r="S14" s="94">
        <v>0</v>
      </c>
      <c r="T14" s="94">
        <v>0</v>
      </c>
      <c r="U14" s="94">
        <v>0</v>
      </c>
      <c r="V14" s="197">
        <v>0</v>
      </c>
      <c r="W14" s="298" t="s">
        <v>1383</v>
      </c>
      <c r="X14" s="128"/>
    </row>
    <row r="15" spans="1:24" ht="18">
      <c r="A15" s="12"/>
      <c r="B15" s="12" t="s">
        <v>551</v>
      </c>
      <c r="C15" s="12"/>
      <c r="D15" s="19" t="s">
        <v>552</v>
      </c>
      <c r="E15" s="93">
        <f t="shared" si="3"/>
        <v>4150000</v>
      </c>
      <c r="F15" s="94">
        <v>0</v>
      </c>
      <c r="G15" s="94">
        <v>0</v>
      </c>
      <c r="H15" s="94">
        <v>2150000</v>
      </c>
      <c r="I15" s="94">
        <v>0</v>
      </c>
      <c r="J15" s="94">
        <v>2000000</v>
      </c>
      <c r="K15" s="94">
        <v>0</v>
      </c>
      <c r="L15" s="94">
        <v>0</v>
      </c>
      <c r="M15" s="197">
        <v>0</v>
      </c>
      <c r="N15" s="93">
        <f t="shared" si="1"/>
        <v>1150000</v>
      </c>
      <c r="O15" s="94">
        <v>0</v>
      </c>
      <c r="P15" s="94">
        <v>0</v>
      </c>
      <c r="Q15" s="94">
        <f>2150000-1000000</f>
        <v>1150000</v>
      </c>
      <c r="R15" s="94">
        <v>0</v>
      </c>
      <c r="S15" s="94">
        <f>2000000-2000000</f>
        <v>0</v>
      </c>
      <c r="T15" s="94">
        <v>0</v>
      </c>
      <c r="U15" s="94">
        <v>0</v>
      </c>
      <c r="V15" s="197">
        <v>0</v>
      </c>
      <c r="W15" s="298" t="s">
        <v>1384</v>
      </c>
      <c r="X15" s="128"/>
    </row>
    <row r="16" spans="1:24" ht="18">
      <c r="A16" s="12"/>
      <c r="B16" s="12" t="s">
        <v>553</v>
      </c>
      <c r="C16" s="12"/>
      <c r="D16" s="19" t="s">
        <v>554</v>
      </c>
      <c r="E16" s="93">
        <f>SUM(G16:M16)</f>
        <v>17573725</v>
      </c>
      <c r="F16" s="192">
        <v>0</v>
      </c>
      <c r="G16" s="94">
        <f>2421900+201825</f>
        <v>2623725</v>
      </c>
      <c r="H16" s="94">
        <f>13800000+1150000</f>
        <v>14950000</v>
      </c>
      <c r="I16" s="94">
        <v>0</v>
      </c>
      <c r="J16" s="94">
        <v>0</v>
      </c>
      <c r="K16" s="94">
        <v>0</v>
      </c>
      <c r="L16" s="94">
        <v>0</v>
      </c>
      <c r="M16" s="197">
        <v>0</v>
      </c>
      <c r="N16" s="93">
        <f>SUM(P16:V16)</f>
        <v>17573725</v>
      </c>
      <c r="O16" s="192">
        <v>0</v>
      </c>
      <c r="P16" s="94">
        <f>2421900+201825</f>
        <v>2623725</v>
      </c>
      <c r="Q16" s="94">
        <f>13800000+1150000</f>
        <v>14950000</v>
      </c>
      <c r="R16" s="94">
        <v>0</v>
      </c>
      <c r="S16" s="94">
        <v>0</v>
      </c>
      <c r="T16" s="94">
        <v>0</v>
      </c>
      <c r="U16" s="94">
        <v>0</v>
      </c>
      <c r="V16" s="197">
        <v>0</v>
      </c>
      <c r="W16" s="298" t="s">
        <v>1385</v>
      </c>
      <c r="X16" s="128"/>
    </row>
    <row r="17" spans="1:24" ht="18">
      <c r="A17" s="12"/>
      <c r="B17" s="12" t="s">
        <v>555</v>
      </c>
      <c r="C17" s="12"/>
      <c r="D17" s="19" t="s">
        <v>556</v>
      </c>
      <c r="E17" s="93">
        <f t="shared" si="3"/>
        <v>1000000</v>
      </c>
      <c r="F17" s="94">
        <v>0</v>
      </c>
      <c r="G17" s="94">
        <v>0</v>
      </c>
      <c r="H17" s="94">
        <v>0</v>
      </c>
      <c r="I17" s="94">
        <v>0</v>
      </c>
      <c r="J17" s="94">
        <v>1000000</v>
      </c>
      <c r="K17" s="94">
        <v>0</v>
      </c>
      <c r="L17" s="94">
        <v>0</v>
      </c>
      <c r="M17" s="197">
        <v>0</v>
      </c>
      <c r="N17" s="93">
        <f aca="true" t="shared" si="4" ref="N17:N41">SUM(O17:V17)</f>
        <v>1000000</v>
      </c>
      <c r="O17" s="94">
        <v>0</v>
      </c>
      <c r="P17" s="94">
        <v>0</v>
      </c>
      <c r="Q17" s="94">
        <v>0</v>
      </c>
      <c r="R17" s="94">
        <v>0</v>
      </c>
      <c r="S17" s="94">
        <v>1000000</v>
      </c>
      <c r="T17" s="94">
        <v>0</v>
      </c>
      <c r="U17" s="94">
        <v>0</v>
      </c>
      <c r="V17" s="197">
        <v>0</v>
      </c>
      <c r="W17" s="298" t="s">
        <v>1386</v>
      </c>
      <c r="X17" s="128"/>
    </row>
    <row r="18" spans="1:24" ht="18">
      <c r="A18" s="12"/>
      <c r="B18" s="12" t="s">
        <v>557</v>
      </c>
      <c r="C18" s="12"/>
      <c r="D18" s="19" t="s">
        <v>814</v>
      </c>
      <c r="E18" s="93">
        <f t="shared" si="3"/>
        <v>5000000</v>
      </c>
      <c r="F18" s="94">
        <v>0</v>
      </c>
      <c r="G18" s="94">
        <v>0</v>
      </c>
      <c r="H18" s="94">
        <v>0</v>
      </c>
      <c r="I18" s="94">
        <v>0</v>
      </c>
      <c r="J18" s="94">
        <v>5000000</v>
      </c>
      <c r="K18" s="94">
        <v>0</v>
      </c>
      <c r="L18" s="94">
        <v>0</v>
      </c>
      <c r="M18" s="197">
        <v>0</v>
      </c>
      <c r="N18" s="93">
        <f t="shared" si="4"/>
        <v>5000000</v>
      </c>
      <c r="O18" s="94">
        <v>0</v>
      </c>
      <c r="P18" s="94">
        <v>0</v>
      </c>
      <c r="Q18" s="94">
        <v>0</v>
      </c>
      <c r="R18" s="94">
        <v>0</v>
      </c>
      <c r="S18" s="94">
        <v>5000000</v>
      </c>
      <c r="T18" s="94">
        <v>0</v>
      </c>
      <c r="U18" s="94">
        <v>0</v>
      </c>
      <c r="V18" s="197">
        <v>0</v>
      </c>
      <c r="W18" s="298" t="s">
        <v>1387</v>
      </c>
      <c r="X18" s="128"/>
    </row>
    <row r="19" spans="1:24" ht="30">
      <c r="A19" s="12"/>
      <c r="B19" s="12" t="s">
        <v>559</v>
      </c>
      <c r="C19" s="12"/>
      <c r="D19" s="19" t="s">
        <v>558</v>
      </c>
      <c r="E19" s="93">
        <f t="shared" si="3"/>
        <v>2500000</v>
      </c>
      <c r="F19" s="94">
        <v>0</v>
      </c>
      <c r="G19" s="94">
        <v>0</v>
      </c>
      <c r="H19" s="94">
        <v>0</v>
      </c>
      <c r="I19" s="94">
        <v>0</v>
      </c>
      <c r="J19" s="94">
        <v>2500000</v>
      </c>
      <c r="K19" s="94">
        <v>0</v>
      </c>
      <c r="L19" s="94">
        <v>0</v>
      </c>
      <c r="M19" s="197">
        <v>0</v>
      </c>
      <c r="N19" s="93">
        <f t="shared" si="4"/>
        <v>2500000</v>
      </c>
      <c r="O19" s="94">
        <v>0</v>
      </c>
      <c r="P19" s="94">
        <v>0</v>
      </c>
      <c r="Q19" s="94">
        <v>0</v>
      </c>
      <c r="R19" s="94">
        <v>0</v>
      </c>
      <c r="S19" s="94">
        <v>2500000</v>
      </c>
      <c r="T19" s="94">
        <v>0</v>
      </c>
      <c r="U19" s="94">
        <v>0</v>
      </c>
      <c r="V19" s="197">
        <v>0</v>
      </c>
      <c r="W19" s="298" t="s">
        <v>1388</v>
      </c>
      <c r="X19" s="128"/>
    </row>
    <row r="20" spans="1:24" ht="18">
      <c r="A20" s="12"/>
      <c r="B20" s="12" t="s">
        <v>561</v>
      </c>
      <c r="C20" s="12"/>
      <c r="D20" s="19" t="s">
        <v>560</v>
      </c>
      <c r="E20" s="93">
        <f t="shared" si="3"/>
        <v>2987500</v>
      </c>
      <c r="F20" s="94">
        <v>2500000</v>
      </c>
      <c r="G20" s="94">
        <v>487500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197">
        <v>0</v>
      </c>
      <c r="N20" s="93">
        <f t="shared" si="4"/>
        <v>2987500</v>
      </c>
      <c r="O20" s="94">
        <v>2500000</v>
      </c>
      <c r="P20" s="94">
        <v>487500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197">
        <v>0</v>
      </c>
      <c r="W20" s="298" t="s">
        <v>1389</v>
      </c>
      <c r="X20" s="128"/>
    </row>
    <row r="21" spans="1:24" ht="30.75" customHeight="1">
      <c r="A21" s="12"/>
      <c r="B21" s="12" t="s">
        <v>563</v>
      </c>
      <c r="C21" s="12"/>
      <c r="D21" s="130" t="s">
        <v>562</v>
      </c>
      <c r="E21" s="93">
        <f t="shared" si="3"/>
        <v>10079800</v>
      </c>
      <c r="F21" s="94">
        <v>0</v>
      </c>
      <c r="G21" s="94">
        <v>0</v>
      </c>
      <c r="H21" s="94">
        <f>3508300+571500</f>
        <v>4079800</v>
      </c>
      <c r="I21" s="94">
        <v>0</v>
      </c>
      <c r="J21" s="94">
        <v>6000000</v>
      </c>
      <c r="K21" s="94">
        <v>0</v>
      </c>
      <c r="L21" s="94">
        <v>0</v>
      </c>
      <c r="M21" s="197">
        <v>0</v>
      </c>
      <c r="N21" s="93">
        <f t="shared" si="4"/>
        <v>10377300</v>
      </c>
      <c r="O21" s="94">
        <v>0</v>
      </c>
      <c r="P21" s="94">
        <v>0</v>
      </c>
      <c r="Q21" s="94">
        <f>3508300+571500+297500</f>
        <v>4377300</v>
      </c>
      <c r="R21" s="94">
        <v>0</v>
      </c>
      <c r="S21" s="94">
        <f>6000000</f>
        <v>6000000</v>
      </c>
      <c r="T21" s="94">
        <v>0</v>
      </c>
      <c r="U21" s="94">
        <v>0</v>
      </c>
      <c r="V21" s="197">
        <v>0</v>
      </c>
      <c r="W21" s="298" t="s">
        <v>1390</v>
      </c>
      <c r="X21" s="128"/>
    </row>
    <row r="22" spans="1:24" ht="25.5" customHeight="1">
      <c r="A22" s="12"/>
      <c r="B22" s="12" t="s">
        <v>564</v>
      </c>
      <c r="C22" s="12"/>
      <c r="D22" s="19" t="s">
        <v>1120</v>
      </c>
      <c r="E22" s="93">
        <f t="shared" si="3"/>
        <v>5421140</v>
      </c>
      <c r="F22" s="94">
        <v>0</v>
      </c>
      <c r="G22" s="94">
        <v>0</v>
      </c>
      <c r="H22" s="94">
        <f>2500000+421140</f>
        <v>2921140</v>
      </c>
      <c r="I22" s="94">
        <v>0</v>
      </c>
      <c r="J22" s="94">
        <v>2500000</v>
      </c>
      <c r="K22" s="132">
        <v>0</v>
      </c>
      <c r="L22" s="94">
        <v>0</v>
      </c>
      <c r="M22" s="197">
        <v>0</v>
      </c>
      <c r="N22" s="93">
        <f t="shared" si="4"/>
        <v>5421140</v>
      </c>
      <c r="O22" s="94">
        <v>0</v>
      </c>
      <c r="P22" s="94">
        <v>0</v>
      </c>
      <c r="Q22" s="94">
        <f>2500000+421140</f>
        <v>2921140</v>
      </c>
      <c r="R22" s="94">
        <v>0</v>
      </c>
      <c r="S22" s="94">
        <v>2500000</v>
      </c>
      <c r="T22" s="132">
        <v>0</v>
      </c>
      <c r="U22" s="94">
        <v>0</v>
      </c>
      <c r="V22" s="197">
        <v>0</v>
      </c>
      <c r="W22" s="298">
        <v>56112</v>
      </c>
      <c r="X22" s="128"/>
    </row>
    <row r="23" spans="1:24" ht="23.25" customHeight="1">
      <c r="A23" s="12"/>
      <c r="B23" s="12" t="s">
        <v>565</v>
      </c>
      <c r="C23" s="12"/>
      <c r="D23" s="19" t="s">
        <v>820</v>
      </c>
      <c r="E23" s="93">
        <f t="shared" si="3"/>
        <v>1200000</v>
      </c>
      <c r="F23" s="94">
        <v>0</v>
      </c>
      <c r="G23" s="94">
        <v>0</v>
      </c>
      <c r="H23" s="94">
        <v>0</v>
      </c>
      <c r="I23" s="94">
        <v>0</v>
      </c>
      <c r="J23" s="94">
        <v>1200000</v>
      </c>
      <c r="K23" s="132">
        <v>0</v>
      </c>
      <c r="L23" s="94">
        <v>0</v>
      </c>
      <c r="M23" s="197">
        <v>0</v>
      </c>
      <c r="N23" s="93">
        <f t="shared" si="4"/>
        <v>1200000</v>
      </c>
      <c r="O23" s="94">
        <v>0</v>
      </c>
      <c r="P23" s="94">
        <v>0</v>
      </c>
      <c r="Q23" s="94">
        <v>0</v>
      </c>
      <c r="R23" s="94">
        <v>0</v>
      </c>
      <c r="S23" s="94">
        <v>1200000</v>
      </c>
      <c r="T23" s="132">
        <v>0</v>
      </c>
      <c r="U23" s="94">
        <v>0</v>
      </c>
      <c r="V23" s="197">
        <v>0</v>
      </c>
      <c r="W23" s="298">
        <v>56114</v>
      </c>
      <c r="X23" s="128"/>
    </row>
    <row r="24" spans="1:25" ht="32.25" customHeight="1">
      <c r="A24" s="12"/>
      <c r="B24" s="12" t="s">
        <v>566</v>
      </c>
      <c r="C24" s="12"/>
      <c r="D24" s="19" t="s">
        <v>1123</v>
      </c>
      <c r="E24" s="93">
        <f t="shared" si="3"/>
        <v>2000000</v>
      </c>
      <c r="F24" s="94">
        <v>0</v>
      </c>
      <c r="G24" s="94">
        <v>0</v>
      </c>
      <c r="H24" s="94">
        <v>0</v>
      </c>
      <c r="I24" s="94">
        <v>0</v>
      </c>
      <c r="J24" s="94">
        <v>2000000</v>
      </c>
      <c r="K24" s="132">
        <v>0</v>
      </c>
      <c r="L24" s="94">
        <v>0</v>
      </c>
      <c r="M24" s="197">
        <v>0</v>
      </c>
      <c r="N24" s="93">
        <f t="shared" si="4"/>
        <v>2000000</v>
      </c>
      <c r="O24" s="94">
        <v>0</v>
      </c>
      <c r="P24" s="94">
        <v>0</v>
      </c>
      <c r="Q24" s="94">
        <v>0</v>
      </c>
      <c r="R24" s="94">
        <v>0</v>
      </c>
      <c r="S24" s="94">
        <v>2000000</v>
      </c>
      <c r="T24" s="132">
        <v>0</v>
      </c>
      <c r="U24" s="94">
        <v>0</v>
      </c>
      <c r="V24" s="197">
        <v>0</v>
      </c>
      <c r="W24" s="298" t="s">
        <v>1443</v>
      </c>
      <c r="X24" s="128"/>
      <c r="Y24" s="128"/>
    </row>
    <row r="25" spans="1:25" ht="32.25" customHeight="1">
      <c r="A25" s="12"/>
      <c r="B25" s="12" t="s">
        <v>567</v>
      </c>
      <c r="C25" s="12"/>
      <c r="D25" s="19" t="s">
        <v>1159</v>
      </c>
      <c r="E25" s="93">
        <f t="shared" si="3"/>
        <v>92208000</v>
      </c>
      <c r="F25" s="94">
        <f>2000000+1500000+1500000</f>
        <v>5000000</v>
      </c>
      <c r="G25" s="94">
        <f>390000+292500+292500</f>
        <v>975000</v>
      </c>
      <c r="H25" s="94">
        <v>0</v>
      </c>
      <c r="I25" s="94">
        <v>0</v>
      </c>
      <c r="J25" s="94">
        <v>0</v>
      </c>
      <c r="K25" s="132">
        <v>86233000</v>
      </c>
      <c r="L25" s="94">
        <v>0</v>
      </c>
      <c r="M25" s="197">
        <v>0</v>
      </c>
      <c r="N25" s="93">
        <f t="shared" si="4"/>
        <v>92208000</v>
      </c>
      <c r="O25" s="94">
        <f>2000000+1500000+1500000</f>
        <v>5000000</v>
      </c>
      <c r="P25" s="94">
        <f>390000+292500+292500</f>
        <v>975000</v>
      </c>
      <c r="Q25" s="94">
        <v>0</v>
      </c>
      <c r="R25" s="94">
        <v>0</v>
      </c>
      <c r="S25" s="94">
        <v>0</v>
      </c>
      <c r="T25" s="132">
        <v>86233000</v>
      </c>
      <c r="U25" s="94">
        <v>0</v>
      </c>
      <c r="V25" s="197">
        <v>0</v>
      </c>
      <c r="W25" s="298">
        <v>56156</v>
      </c>
      <c r="X25" s="128"/>
      <c r="Y25" s="128"/>
    </row>
    <row r="26" spans="1:26" s="129" customFormat="1" ht="24.75" customHeight="1">
      <c r="A26" s="118"/>
      <c r="B26" s="12" t="s">
        <v>1129</v>
      </c>
      <c r="C26" s="118"/>
      <c r="D26" s="133" t="s">
        <v>568</v>
      </c>
      <c r="E26" s="24">
        <f>SUM(F26:M26)</f>
        <v>33698300</v>
      </c>
      <c r="F26" s="131">
        <f aca="true" t="shared" si="5" ref="F26:M26">SUM(F27:F35)</f>
        <v>0</v>
      </c>
      <c r="G26" s="131">
        <f t="shared" si="5"/>
        <v>0</v>
      </c>
      <c r="H26" s="131">
        <f t="shared" si="5"/>
        <v>0</v>
      </c>
      <c r="I26" s="131">
        <f t="shared" si="5"/>
        <v>0</v>
      </c>
      <c r="J26" s="131">
        <f t="shared" si="5"/>
        <v>33698300</v>
      </c>
      <c r="K26" s="131">
        <f t="shared" si="5"/>
        <v>0</v>
      </c>
      <c r="L26" s="131">
        <f t="shared" si="5"/>
        <v>0</v>
      </c>
      <c r="M26" s="258">
        <f t="shared" si="5"/>
        <v>0</v>
      </c>
      <c r="N26" s="24">
        <f t="shared" si="4"/>
        <v>39598300</v>
      </c>
      <c r="O26" s="131">
        <f aca="true" t="shared" si="6" ref="O26:V26">SUM(O27:O35)</f>
        <v>0</v>
      </c>
      <c r="P26" s="131">
        <f t="shared" si="6"/>
        <v>0</v>
      </c>
      <c r="Q26" s="131">
        <f t="shared" si="6"/>
        <v>0</v>
      </c>
      <c r="R26" s="131">
        <f t="shared" si="6"/>
        <v>0</v>
      </c>
      <c r="S26" s="131">
        <f t="shared" si="6"/>
        <v>39598300</v>
      </c>
      <c r="T26" s="131">
        <f t="shared" si="6"/>
        <v>0</v>
      </c>
      <c r="U26" s="131">
        <f t="shared" si="6"/>
        <v>0</v>
      </c>
      <c r="V26" s="258">
        <f t="shared" si="6"/>
        <v>0</v>
      </c>
      <c r="W26" s="298"/>
      <c r="X26" s="128"/>
      <c r="Z26" s="193"/>
    </row>
    <row r="27" spans="1:24" ht="26.25" customHeight="1">
      <c r="A27" s="12"/>
      <c r="B27" s="12"/>
      <c r="C27" s="12" t="s">
        <v>1194</v>
      </c>
      <c r="D27" s="19" t="s">
        <v>569</v>
      </c>
      <c r="E27" s="93">
        <f t="shared" si="3"/>
        <v>10000000</v>
      </c>
      <c r="F27" s="94">
        <v>0</v>
      </c>
      <c r="G27" s="94">
        <v>0</v>
      </c>
      <c r="H27" s="94">
        <v>0</v>
      </c>
      <c r="I27" s="94">
        <v>0</v>
      </c>
      <c r="J27" s="94">
        <v>10000000</v>
      </c>
      <c r="K27" s="94">
        <v>0</v>
      </c>
      <c r="L27" s="94">
        <v>0</v>
      </c>
      <c r="M27" s="197">
        <v>0</v>
      </c>
      <c r="N27" s="93">
        <f t="shared" si="4"/>
        <v>10000000</v>
      </c>
      <c r="O27" s="94">
        <v>0</v>
      </c>
      <c r="P27" s="94">
        <v>0</v>
      </c>
      <c r="Q27" s="94">
        <v>0</v>
      </c>
      <c r="R27" s="94">
        <v>0</v>
      </c>
      <c r="S27" s="94">
        <v>10000000</v>
      </c>
      <c r="T27" s="94">
        <v>0</v>
      </c>
      <c r="U27" s="94">
        <v>0</v>
      </c>
      <c r="V27" s="197">
        <v>0</v>
      </c>
      <c r="W27" s="298" t="s">
        <v>1391</v>
      </c>
      <c r="X27" s="128"/>
    </row>
    <row r="28" spans="1:24" ht="23.25" customHeight="1">
      <c r="A28" s="12"/>
      <c r="B28" s="12"/>
      <c r="C28" s="12" t="s">
        <v>1195</v>
      </c>
      <c r="D28" s="19" t="s">
        <v>570</v>
      </c>
      <c r="E28" s="93">
        <f t="shared" si="3"/>
        <v>3000000</v>
      </c>
      <c r="F28" s="94">
        <v>0</v>
      </c>
      <c r="G28" s="94">
        <v>0</v>
      </c>
      <c r="H28" s="94">
        <v>0</v>
      </c>
      <c r="I28" s="94">
        <v>0</v>
      </c>
      <c r="J28" s="94">
        <f>2000000+1000000</f>
        <v>3000000</v>
      </c>
      <c r="K28" s="94">
        <v>0</v>
      </c>
      <c r="L28" s="94">
        <v>0</v>
      </c>
      <c r="M28" s="197">
        <v>0</v>
      </c>
      <c r="N28" s="93">
        <f t="shared" si="4"/>
        <v>3000000</v>
      </c>
      <c r="O28" s="94">
        <v>0</v>
      </c>
      <c r="P28" s="94">
        <v>0</v>
      </c>
      <c r="Q28" s="94">
        <v>0</v>
      </c>
      <c r="R28" s="94">
        <v>0</v>
      </c>
      <c r="S28" s="94">
        <f>2000000+1000000</f>
        <v>3000000</v>
      </c>
      <c r="T28" s="94">
        <v>0</v>
      </c>
      <c r="U28" s="94">
        <v>0</v>
      </c>
      <c r="V28" s="197">
        <v>0</v>
      </c>
      <c r="W28" s="298" t="s">
        <v>1392</v>
      </c>
      <c r="X28" s="128"/>
    </row>
    <row r="29" spans="1:24" ht="24.75" customHeight="1">
      <c r="A29" s="12"/>
      <c r="B29" s="12"/>
      <c r="C29" s="12" t="s">
        <v>1196</v>
      </c>
      <c r="D29" s="19" t="s">
        <v>571</v>
      </c>
      <c r="E29" s="93">
        <f t="shared" si="3"/>
        <v>9508300</v>
      </c>
      <c r="F29" s="94">
        <v>0</v>
      </c>
      <c r="G29" s="94">
        <v>0</v>
      </c>
      <c r="H29" s="94">
        <v>0</v>
      </c>
      <c r="I29" s="94">
        <v>0</v>
      </c>
      <c r="J29" s="94">
        <f>4508300+5000000</f>
        <v>9508300</v>
      </c>
      <c r="K29" s="94">
        <v>0</v>
      </c>
      <c r="L29" s="94">
        <v>0</v>
      </c>
      <c r="M29" s="197">
        <v>0</v>
      </c>
      <c r="N29" s="93">
        <f t="shared" si="4"/>
        <v>10408300</v>
      </c>
      <c r="O29" s="94">
        <v>0</v>
      </c>
      <c r="P29" s="94">
        <v>0</v>
      </c>
      <c r="Q29" s="94">
        <v>0</v>
      </c>
      <c r="R29" s="94">
        <v>0</v>
      </c>
      <c r="S29" s="94">
        <f>4508300+5000000+900000</f>
        <v>10408300</v>
      </c>
      <c r="T29" s="94">
        <v>0</v>
      </c>
      <c r="U29" s="94">
        <v>0</v>
      </c>
      <c r="V29" s="197">
        <v>0</v>
      </c>
      <c r="W29" s="298" t="s">
        <v>1393</v>
      </c>
      <c r="X29" s="128"/>
    </row>
    <row r="30" spans="1:24" ht="30" customHeight="1">
      <c r="A30" s="12"/>
      <c r="B30" s="12"/>
      <c r="C30" s="12" t="s">
        <v>1197</v>
      </c>
      <c r="D30" s="19" t="s">
        <v>572</v>
      </c>
      <c r="E30" s="93">
        <f t="shared" si="3"/>
        <v>2000000</v>
      </c>
      <c r="F30" s="94">
        <v>0</v>
      </c>
      <c r="G30" s="94">
        <v>0</v>
      </c>
      <c r="H30" s="94">
        <v>0</v>
      </c>
      <c r="I30" s="94">
        <v>0</v>
      </c>
      <c r="J30" s="94">
        <f>600000+1400000</f>
        <v>2000000</v>
      </c>
      <c r="K30" s="94">
        <v>0</v>
      </c>
      <c r="L30" s="94">
        <v>0</v>
      </c>
      <c r="M30" s="197">
        <v>0</v>
      </c>
      <c r="N30" s="93">
        <f t="shared" si="4"/>
        <v>2000000</v>
      </c>
      <c r="O30" s="94">
        <v>0</v>
      </c>
      <c r="P30" s="94">
        <v>0</v>
      </c>
      <c r="Q30" s="94">
        <v>0</v>
      </c>
      <c r="R30" s="94">
        <v>0</v>
      </c>
      <c r="S30" s="94">
        <f>600000+1400000</f>
        <v>2000000</v>
      </c>
      <c r="T30" s="94">
        <v>0</v>
      </c>
      <c r="U30" s="94">
        <v>0</v>
      </c>
      <c r="V30" s="197">
        <v>0</v>
      </c>
      <c r="W30" s="298" t="s">
        <v>1394</v>
      </c>
      <c r="X30" s="128"/>
    </row>
    <row r="31" spans="1:24" ht="30.75" customHeight="1">
      <c r="A31" s="12"/>
      <c r="B31" s="12"/>
      <c r="C31" s="12" t="s">
        <v>1198</v>
      </c>
      <c r="D31" s="19" t="s">
        <v>1121</v>
      </c>
      <c r="E31" s="93">
        <f t="shared" si="3"/>
        <v>5000000</v>
      </c>
      <c r="F31" s="94">
        <v>0</v>
      </c>
      <c r="G31" s="94">
        <v>0</v>
      </c>
      <c r="H31" s="94">
        <v>0</v>
      </c>
      <c r="I31" s="94">
        <v>0</v>
      </c>
      <c r="J31" s="94">
        <f>1000000+2000000+2000000</f>
        <v>5000000</v>
      </c>
      <c r="K31" s="94">
        <v>0</v>
      </c>
      <c r="L31" s="94">
        <v>0</v>
      </c>
      <c r="M31" s="197">
        <v>0</v>
      </c>
      <c r="N31" s="93">
        <f t="shared" si="4"/>
        <v>10000000</v>
      </c>
      <c r="O31" s="94">
        <v>0</v>
      </c>
      <c r="P31" s="94">
        <v>0</v>
      </c>
      <c r="Q31" s="94">
        <v>0</v>
      </c>
      <c r="R31" s="94">
        <v>0</v>
      </c>
      <c r="S31" s="94">
        <f>1000000+2000000+2000000+2000000+3000000</f>
        <v>10000000</v>
      </c>
      <c r="T31" s="94">
        <v>0</v>
      </c>
      <c r="U31" s="94">
        <v>0</v>
      </c>
      <c r="V31" s="197">
        <v>0</v>
      </c>
      <c r="W31" s="298" t="s">
        <v>1395</v>
      </c>
      <c r="X31" s="128"/>
    </row>
    <row r="32" spans="1:24" ht="21.75" customHeight="1">
      <c r="A32" s="12"/>
      <c r="B32" s="12"/>
      <c r="C32" s="12" t="s">
        <v>1199</v>
      </c>
      <c r="D32" s="19" t="s">
        <v>573</v>
      </c>
      <c r="E32" s="93">
        <f t="shared" si="3"/>
        <v>2190000</v>
      </c>
      <c r="F32" s="94">
        <v>0</v>
      </c>
      <c r="G32" s="94">
        <v>0</v>
      </c>
      <c r="H32" s="94">
        <v>0</v>
      </c>
      <c r="I32" s="94">
        <v>0</v>
      </c>
      <c r="J32" s="94">
        <v>2190000</v>
      </c>
      <c r="K32" s="94">
        <v>0</v>
      </c>
      <c r="L32" s="94">
        <v>0</v>
      </c>
      <c r="M32" s="197">
        <v>0</v>
      </c>
      <c r="N32" s="93">
        <f t="shared" si="4"/>
        <v>2190000</v>
      </c>
      <c r="O32" s="94">
        <v>0</v>
      </c>
      <c r="P32" s="94">
        <v>0</v>
      </c>
      <c r="Q32" s="94">
        <v>0</v>
      </c>
      <c r="R32" s="94">
        <v>0</v>
      </c>
      <c r="S32" s="94">
        <v>2190000</v>
      </c>
      <c r="T32" s="94">
        <v>0</v>
      </c>
      <c r="U32" s="94">
        <v>0</v>
      </c>
      <c r="V32" s="197">
        <v>0</v>
      </c>
      <c r="W32" s="298" t="s">
        <v>1396</v>
      </c>
      <c r="X32" s="128"/>
    </row>
    <row r="33" spans="1:24" ht="33.75" customHeight="1">
      <c r="A33" s="12"/>
      <c r="B33" s="12"/>
      <c r="C33" s="12" t="s">
        <v>1200</v>
      </c>
      <c r="D33" s="19" t="s">
        <v>953</v>
      </c>
      <c r="E33" s="93">
        <f t="shared" si="3"/>
        <v>500000</v>
      </c>
      <c r="F33" s="94">
        <v>0</v>
      </c>
      <c r="G33" s="94">
        <v>0</v>
      </c>
      <c r="H33" s="94">
        <v>0</v>
      </c>
      <c r="I33" s="94">
        <v>0</v>
      </c>
      <c r="J33" s="94">
        <v>500000</v>
      </c>
      <c r="K33" s="94">
        <v>0</v>
      </c>
      <c r="L33" s="94">
        <v>0</v>
      </c>
      <c r="M33" s="197">
        <v>0</v>
      </c>
      <c r="N33" s="93">
        <f t="shared" si="4"/>
        <v>500000</v>
      </c>
      <c r="O33" s="94">
        <v>0</v>
      </c>
      <c r="P33" s="94">
        <v>0</v>
      </c>
      <c r="Q33" s="94">
        <v>0</v>
      </c>
      <c r="R33" s="94">
        <v>0</v>
      </c>
      <c r="S33" s="94">
        <v>500000</v>
      </c>
      <c r="T33" s="94">
        <v>0</v>
      </c>
      <c r="U33" s="94">
        <v>0</v>
      </c>
      <c r="V33" s="197">
        <v>0</v>
      </c>
      <c r="W33" s="298" t="s">
        <v>1397</v>
      </c>
      <c r="X33" s="128"/>
    </row>
    <row r="34" spans="1:24" ht="33.75" customHeight="1">
      <c r="A34" s="12"/>
      <c r="B34" s="12"/>
      <c r="C34" s="12" t="s">
        <v>1201</v>
      </c>
      <c r="D34" s="19" t="s">
        <v>1082</v>
      </c>
      <c r="E34" s="93">
        <f t="shared" si="3"/>
        <v>1000000</v>
      </c>
      <c r="F34" s="94">
        <v>0</v>
      </c>
      <c r="G34" s="94">
        <v>0</v>
      </c>
      <c r="H34" s="94">
        <v>0</v>
      </c>
      <c r="I34" s="94">
        <v>0</v>
      </c>
      <c r="J34" s="94">
        <v>1000000</v>
      </c>
      <c r="K34" s="94">
        <v>0</v>
      </c>
      <c r="L34" s="94">
        <v>0</v>
      </c>
      <c r="M34" s="197">
        <v>0</v>
      </c>
      <c r="N34" s="93">
        <f t="shared" si="4"/>
        <v>1000000</v>
      </c>
      <c r="O34" s="94">
        <v>0</v>
      </c>
      <c r="P34" s="94">
        <v>0</v>
      </c>
      <c r="Q34" s="94">
        <v>0</v>
      </c>
      <c r="R34" s="94">
        <v>0</v>
      </c>
      <c r="S34" s="94">
        <v>1000000</v>
      </c>
      <c r="T34" s="94">
        <v>0</v>
      </c>
      <c r="U34" s="94">
        <v>0</v>
      </c>
      <c r="V34" s="197">
        <v>0</v>
      </c>
      <c r="W34" s="298" t="s">
        <v>1398</v>
      </c>
      <c r="X34" s="128"/>
    </row>
    <row r="35" spans="1:24" ht="33.75" customHeight="1">
      <c r="A35" s="12"/>
      <c r="B35" s="12"/>
      <c r="C35" s="12" t="s">
        <v>1202</v>
      </c>
      <c r="D35" s="19" t="s">
        <v>1085</v>
      </c>
      <c r="E35" s="93">
        <f t="shared" si="3"/>
        <v>500000</v>
      </c>
      <c r="F35" s="94">
        <v>0</v>
      </c>
      <c r="G35" s="94">
        <v>0</v>
      </c>
      <c r="H35" s="94">
        <v>0</v>
      </c>
      <c r="I35" s="94">
        <v>0</v>
      </c>
      <c r="J35" s="94">
        <v>500000</v>
      </c>
      <c r="K35" s="94">
        <v>0</v>
      </c>
      <c r="L35" s="94">
        <v>0</v>
      </c>
      <c r="M35" s="197">
        <v>0</v>
      </c>
      <c r="N35" s="93">
        <f t="shared" si="4"/>
        <v>500000</v>
      </c>
      <c r="O35" s="94">
        <v>0</v>
      </c>
      <c r="P35" s="94">
        <v>0</v>
      </c>
      <c r="Q35" s="94">
        <v>0</v>
      </c>
      <c r="R35" s="94">
        <v>0</v>
      </c>
      <c r="S35" s="94">
        <v>500000</v>
      </c>
      <c r="T35" s="94">
        <v>0</v>
      </c>
      <c r="U35" s="94">
        <v>0</v>
      </c>
      <c r="V35" s="197">
        <v>0</v>
      </c>
      <c r="W35" s="298" t="s">
        <v>1399</v>
      </c>
      <c r="X35" s="128"/>
    </row>
    <row r="36" spans="1:24" ht="33.75" customHeight="1">
      <c r="A36" s="12"/>
      <c r="B36" s="12" t="s">
        <v>1203</v>
      </c>
      <c r="C36" s="12"/>
      <c r="D36" s="19" t="s">
        <v>1225</v>
      </c>
      <c r="E36" s="93">
        <f t="shared" si="3"/>
        <v>82500000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197">
        <f>50000000+32500000</f>
        <v>82500000</v>
      </c>
      <c r="N36" s="93">
        <f t="shared" si="4"/>
        <v>82500000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197">
        <f>50000000+32500000</f>
        <v>82500000</v>
      </c>
      <c r="W36" s="298">
        <v>56153</v>
      </c>
      <c r="X36" s="128"/>
    </row>
    <row r="37" spans="1:24" ht="33.75" customHeight="1">
      <c r="A37" s="12"/>
      <c r="B37" s="12" t="s">
        <v>1204</v>
      </c>
      <c r="C37" s="12"/>
      <c r="D37" s="19" t="s">
        <v>1192</v>
      </c>
      <c r="E37" s="93">
        <f t="shared" si="3"/>
        <v>4172460</v>
      </c>
      <c r="F37" s="94">
        <v>0</v>
      </c>
      <c r="G37" s="94">
        <v>0</v>
      </c>
      <c r="H37" s="94">
        <v>0</v>
      </c>
      <c r="I37" s="94">
        <v>0</v>
      </c>
      <c r="J37" s="94">
        <v>4172460</v>
      </c>
      <c r="K37" s="94">
        <v>0</v>
      </c>
      <c r="L37" s="94">
        <v>0</v>
      </c>
      <c r="M37" s="197">
        <v>0</v>
      </c>
      <c r="N37" s="93">
        <f t="shared" si="4"/>
        <v>4172460</v>
      </c>
      <c r="O37" s="94">
        <v>0</v>
      </c>
      <c r="P37" s="94">
        <v>0</v>
      </c>
      <c r="Q37" s="94">
        <v>0</v>
      </c>
      <c r="R37" s="94">
        <v>0</v>
      </c>
      <c r="S37" s="94">
        <v>4172460</v>
      </c>
      <c r="T37" s="94">
        <v>0</v>
      </c>
      <c r="U37" s="94">
        <v>0</v>
      </c>
      <c r="V37" s="197">
        <v>0</v>
      </c>
      <c r="W37" s="298">
        <v>56157</v>
      </c>
      <c r="X37" s="128"/>
    </row>
    <row r="38" spans="1:24" ht="33.75" customHeight="1">
      <c r="A38" s="12"/>
      <c r="B38" s="12" t="s">
        <v>1205</v>
      </c>
      <c r="C38" s="12"/>
      <c r="D38" s="19" t="s">
        <v>1193</v>
      </c>
      <c r="E38" s="93">
        <f t="shared" si="3"/>
        <v>500000</v>
      </c>
      <c r="F38" s="94">
        <v>0</v>
      </c>
      <c r="G38" s="94">
        <v>0</v>
      </c>
      <c r="H38" s="94">
        <v>0</v>
      </c>
      <c r="I38" s="94">
        <v>0</v>
      </c>
      <c r="J38" s="94">
        <v>500000</v>
      </c>
      <c r="K38" s="94">
        <v>0</v>
      </c>
      <c r="L38" s="94">
        <v>0</v>
      </c>
      <c r="M38" s="197">
        <v>0</v>
      </c>
      <c r="N38" s="93">
        <f t="shared" si="4"/>
        <v>500000</v>
      </c>
      <c r="O38" s="94">
        <v>0</v>
      </c>
      <c r="P38" s="94">
        <v>0</v>
      </c>
      <c r="Q38" s="94">
        <v>0</v>
      </c>
      <c r="R38" s="94">
        <v>0</v>
      </c>
      <c r="S38" s="94">
        <v>500000</v>
      </c>
      <c r="T38" s="94">
        <v>0</v>
      </c>
      <c r="U38" s="94">
        <v>0</v>
      </c>
      <c r="V38" s="197">
        <v>0</v>
      </c>
      <c r="W38" s="298">
        <v>56158</v>
      </c>
      <c r="X38" s="128"/>
    </row>
    <row r="39" spans="1:24" ht="18">
      <c r="A39" s="12" t="s">
        <v>113</v>
      </c>
      <c r="B39" s="12"/>
      <c r="C39" s="12"/>
      <c r="D39" s="82" t="s">
        <v>42</v>
      </c>
      <c r="E39" s="24">
        <f t="shared" si="3"/>
        <v>0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7">
        <v>0</v>
      </c>
      <c r="N39" s="24">
        <f t="shared" si="4"/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7">
        <v>0</v>
      </c>
      <c r="W39" s="327"/>
      <c r="X39" s="128"/>
    </row>
    <row r="40" spans="1:24" ht="18">
      <c r="A40" s="12" t="s">
        <v>114</v>
      </c>
      <c r="B40" s="12"/>
      <c r="C40" s="12"/>
      <c r="D40" s="82" t="s">
        <v>44</v>
      </c>
      <c r="E40" s="24">
        <f t="shared" si="3"/>
        <v>0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3">
        <v>0</v>
      </c>
      <c r="N40" s="24">
        <f t="shared" si="4"/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3">
        <v>0</v>
      </c>
      <c r="W40" s="327"/>
      <c r="X40" s="128"/>
    </row>
    <row r="41" spans="1:24" ht="33.75" customHeight="1">
      <c r="A41" s="435" t="s">
        <v>315</v>
      </c>
      <c r="B41" s="436"/>
      <c r="C41" s="436"/>
      <c r="D41" s="437"/>
      <c r="E41" s="24">
        <f>SUM(F41:M41)</f>
        <v>288639523</v>
      </c>
      <c r="F41" s="120">
        <f aca="true" t="shared" si="7" ref="F41:M41">F10+F39+F40</f>
        <v>9576471</v>
      </c>
      <c r="G41" s="120">
        <f t="shared" si="7"/>
        <v>4968287</v>
      </c>
      <c r="H41" s="120">
        <f t="shared" si="7"/>
        <v>41291005</v>
      </c>
      <c r="I41" s="120">
        <f t="shared" si="7"/>
        <v>0</v>
      </c>
      <c r="J41" s="120">
        <f t="shared" si="7"/>
        <v>64070760</v>
      </c>
      <c r="K41" s="120">
        <f t="shared" si="7"/>
        <v>86233000</v>
      </c>
      <c r="L41" s="120">
        <f t="shared" si="7"/>
        <v>0</v>
      </c>
      <c r="M41" s="127">
        <f t="shared" si="7"/>
        <v>82500000</v>
      </c>
      <c r="N41" s="24">
        <f t="shared" si="4"/>
        <v>291837023</v>
      </c>
      <c r="O41" s="120">
        <f aca="true" t="shared" si="8" ref="O41:V41">O10+O39+O40</f>
        <v>9576471</v>
      </c>
      <c r="P41" s="120">
        <f t="shared" si="8"/>
        <v>4968287</v>
      </c>
      <c r="Q41" s="120">
        <f t="shared" si="8"/>
        <v>40588505</v>
      </c>
      <c r="R41" s="120">
        <f t="shared" si="8"/>
        <v>0</v>
      </c>
      <c r="S41" s="120">
        <f t="shared" si="8"/>
        <v>67970760</v>
      </c>
      <c r="T41" s="120">
        <f t="shared" si="8"/>
        <v>86233000</v>
      </c>
      <c r="U41" s="120">
        <f t="shared" si="8"/>
        <v>0</v>
      </c>
      <c r="V41" s="127">
        <f t="shared" si="8"/>
        <v>82500000</v>
      </c>
      <c r="W41" s="327"/>
      <c r="X41" s="128"/>
    </row>
    <row r="48" spans="5:14" ht="12.75">
      <c r="E48" s="128"/>
      <c r="N48" s="128"/>
    </row>
  </sheetData>
  <sheetProtection selectLockedCells="1" selectUnlockedCells="1"/>
  <mergeCells count="18">
    <mergeCell ref="A41:D41"/>
    <mergeCell ref="B7:B9"/>
    <mergeCell ref="D7:D9"/>
    <mergeCell ref="F7:M7"/>
    <mergeCell ref="F8:J8"/>
    <mergeCell ref="W7:W10"/>
    <mergeCell ref="O8:S8"/>
    <mergeCell ref="T8:V8"/>
    <mergeCell ref="A4:W4"/>
    <mergeCell ref="A1:W1"/>
    <mergeCell ref="A7:A9"/>
    <mergeCell ref="K8:M8"/>
    <mergeCell ref="E7:E9"/>
    <mergeCell ref="C7:C9"/>
    <mergeCell ref="N7:N9"/>
    <mergeCell ref="O7:V7"/>
    <mergeCell ref="A2:W2"/>
    <mergeCell ref="A3:W3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8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62"/>
  <sheetViews>
    <sheetView view="pageBreakPreview" zoomScale="80" zoomScaleNormal="80" zoomScaleSheetLayoutView="80" zoomScalePageLayoutView="0" workbookViewId="0" topLeftCell="A1">
      <pane xSplit="4" ySplit="10" topLeftCell="K1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2" sqref="A2:W2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3.28125" style="0" customWidth="1"/>
    <col min="4" max="4" width="74.28125" style="0" customWidth="1"/>
    <col min="5" max="5" width="19.421875" style="0" customWidth="1"/>
    <col min="6" max="6" width="14.57421875" style="0" customWidth="1"/>
    <col min="7" max="7" width="16.140625" style="0" customWidth="1"/>
    <col min="8" max="9" width="14.57421875" style="0" customWidth="1"/>
    <col min="10" max="10" width="21.140625" style="0" customWidth="1"/>
    <col min="11" max="12" width="14.57421875" style="0" customWidth="1"/>
    <col min="13" max="13" width="18.7109375" style="0" customWidth="1"/>
    <col min="14" max="14" width="19.421875" style="0" customWidth="1"/>
    <col min="15" max="15" width="14.57421875" style="0" customWidth="1"/>
    <col min="16" max="16" width="16.140625" style="0" customWidth="1"/>
    <col min="17" max="18" width="14.57421875" style="0" customWidth="1"/>
    <col min="19" max="19" width="21.140625" style="0" customWidth="1"/>
    <col min="20" max="21" width="14.57421875" style="0" customWidth="1"/>
    <col min="22" max="22" width="18.7109375" style="0" customWidth="1"/>
    <col min="23" max="23" width="15.421875" style="203" customWidth="1"/>
  </cols>
  <sheetData>
    <row r="1" spans="1:23" ht="18.75" customHeight="1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</row>
    <row r="2" spans="1:23" ht="18">
      <c r="A2" s="441" t="s">
        <v>1552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</row>
    <row r="3" spans="1:23" ht="18">
      <c r="A3" s="442" t="s">
        <v>1540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</row>
    <row r="4" spans="1:23" ht="18" customHeight="1">
      <c r="A4" s="423" t="s">
        <v>574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</row>
    <row r="5" spans="1:23" ht="18">
      <c r="A5" s="424" t="s">
        <v>575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</row>
    <row r="6" spans="1:23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0"/>
      <c r="N6" s="3"/>
      <c r="O6" s="3"/>
      <c r="P6" s="3"/>
      <c r="Q6" s="3"/>
      <c r="R6" s="3"/>
      <c r="S6" s="3"/>
      <c r="T6" s="3"/>
      <c r="U6" s="40"/>
      <c r="W6" s="188" t="s">
        <v>1</v>
      </c>
    </row>
    <row r="7" spans="1:23" ht="15" customHeight="1">
      <c r="A7" s="265" t="s">
        <v>2</v>
      </c>
      <c r="B7" s="265" t="s">
        <v>3</v>
      </c>
      <c r="C7" s="265" t="s">
        <v>4</v>
      </c>
      <c r="D7" s="265" t="s">
        <v>5</v>
      </c>
      <c r="E7" s="265" t="s">
        <v>6</v>
      </c>
      <c r="F7" s="265" t="s">
        <v>7</v>
      </c>
      <c r="G7" s="265" t="s">
        <v>8</v>
      </c>
      <c r="H7" s="265" t="s">
        <v>9</v>
      </c>
      <c r="I7" s="265" t="s">
        <v>10</v>
      </c>
      <c r="J7" s="266" t="s">
        <v>11</v>
      </c>
      <c r="K7" s="265" t="s">
        <v>12</v>
      </c>
      <c r="L7" s="267" t="s">
        <v>13</v>
      </c>
      <c r="M7" s="268" t="s">
        <v>14</v>
      </c>
      <c r="N7" s="265" t="s">
        <v>15</v>
      </c>
      <c r="O7" s="265" t="s">
        <v>16</v>
      </c>
      <c r="P7" s="265" t="s">
        <v>17</v>
      </c>
      <c r="Q7" s="265" t="s">
        <v>18</v>
      </c>
      <c r="R7" s="265" t="s">
        <v>19</v>
      </c>
      <c r="S7" s="266" t="s">
        <v>20</v>
      </c>
      <c r="T7" s="265" t="s">
        <v>21</v>
      </c>
      <c r="U7" s="267" t="s">
        <v>22</v>
      </c>
      <c r="V7" s="268" t="s">
        <v>181</v>
      </c>
      <c r="W7" s="297" t="s">
        <v>182</v>
      </c>
    </row>
    <row r="8" spans="1:23" ht="12.75" customHeight="1">
      <c r="A8" s="354" t="s">
        <v>24</v>
      </c>
      <c r="B8" s="354" t="s">
        <v>185</v>
      </c>
      <c r="C8" s="354" t="s">
        <v>354</v>
      </c>
      <c r="D8" s="355" t="s">
        <v>25</v>
      </c>
      <c r="E8" s="355" t="s">
        <v>1099</v>
      </c>
      <c r="F8" s="403" t="s">
        <v>26</v>
      </c>
      <c r="G8" s="403"/>
      <c r="H8" s="403"/>
      <c r="I8" s="403"/>
      <c r="J8" s="403"/>
      <c r="K8" s="403"/>
      <c r="L8" s="403"/>
      <c r="M8" s="443"/>
      <c r="N8" s="355" t="s">
        <v>1526</v>
      </c>
      <c r="O8" s="403" t="s">
        <v>1525</v>
      </c>
      <c r="P8" s="403"/>
      <c r="Q8" s="403"/>
      <c r="R8" s="403"/>
      <c r="S8" s="403"/>
      <c r="T8" s="403"/>
      <c r="U8" s="403"/>
      <c r="V8" s="404"/>
      <c r="W8" s="345" t="s">
        <v>1234</v>
      </c>
    </row>
    <row r="9" spans="1:23" ht="12.75" customHeight="1">
      <c r="A9" s="354"/>
      <c r="B9" s="354"/>
      <c r="C9" s="354"/>
      <c r="D9" s="355"/>
      <c r="E9" s="355"/>
      <c r="F9" s="428" t="s">
        <v>27</v>
      </c>
      <c r="G9" s="439"/>
      <c r="H9" s="439"/>
      <c r="I9" s="439"/>
      <c r="J9" s="440"/>
      <c r="K9" s="351" t="s">
        <v>28</v>
      </c>
      <c r="L9" s="351"/>
      <c r="M9" s="351"/>
      <c r="N9" s="355"/>
      <c r="O9" s="351" t="s">
        <v>27</v>
      </c>
      <c r="P9" s="351"/>
      <c r="Q9" s="351"/>
      <c r="R9" s="351"/>
      <c r="S9" s="351"/>
      <c r="T9" s="351" t="s">
        <v>28</v>
      </c>
      <c r="U9" s="351"/>
      <c r="V9" s="398"/>
      <c r="W9" s="345"/>
    </row>
    <row r="10" spans="1:23" ht="84" customHeight="1">
      <c r="A10" s="354"/>
      <c r="B10" s="354"/>
      <c r="C10" s="354"/>
      <c r="D10" s="355"/>
      <c r="E10" s="355"/>
      <c r="F10" s="7" t="s">
        <v>29</v>
      </c>
      <c r="G10" s="7" t="s">
        <v>30</v>
      </c>
      <c r="H10" s="7" t="s">
        <v>31</v>
      </c>
      <c r="I10" s="7" t="s">
        <v>32</v>
      </c>
      <c r="J10" s="7" t="s">
        <v>33</v>
      </c>
      <c r="K10" s="7" t="s">
        <v>34</v>
      </c>
      <c r="L10" s="7" t="s">
        <v>35</v>
      </c>
      <c r="M10" s="7" t="s">
        <v>36</v>
      </c>
      <c r="N10" s="355"/>
      <c r="O10" s="7" t="s">
        <v>29</v>
      </c>
      <c r="P10" s="7" t="s">
        <v>30</v>
      </c>
      <c r="Q10" s="7" t="s">
        <v>31</v>
      </c>
      <c r="R10" s="7" t="s">
        <v>32</v>
      </c>
      <c r="S10" s="7" t="s">
        <v>33</v>
      </c>
      <c r="T10" s="7" t="s">
        <v>34</v>
      </c>
      <c r="U10" s="7" t="s">
        <v>35</v>
      </c>
      <c r="V10" s="196" t="s">
        <v>36</v>
      </c>
      <c r="W10" s="345"/>
    </row>
    <row r="11" spans="1:23" ht="18">
      <c r="A11" s="12" t="s">
        <v>117</v>
      </c>
      <c r="B11" s="12"/>
      <c r="C11" s="12"/>
      <c r="D11" s="82" t="s">
        <v>40</v>
      </c>
      <c r="E11" s="24">
        <f>SUM(F11:M11)</f>
        <v>2772790000</v>
      </c>
      <c r="F11" s="120">
        <f aca="true" t="shared" si="0" ref="F11:V11">F12</f>
        <v>0</v>
      </c>
      <c r="G11" s="120">
        <f t="shared" si="0"/>
        <v>0</v>
      </c>
      <c r="H11" s="120">
        <f t="shared" si="0"/>
        <v>0</v>
      </c>
      <c r="I11" s="120">
        <f t="shared" si="0"/>
        <v>0</v>
      </c>
      <c r="J11" s="120">
        <f t="shared" si="0"/>
        <v>2594000000</v>
      </c>
      <c r="K11" s="120">
        <f t="shared" si="0"/>
        <v>0</v>
      </c>
      <c r="L11" s="120">
        <f t="shared" si="0"/>
        <v>0</v>
      </c>
      <c r="M11" s="120">
        <f t="shared" si="0"/>
        <v>178790000</v>
      </c>
      <c r="N11" s="24">
        <f>SUM(O11:V11)</f>
        <v>2777790000</v>
      </c>
      <c r="O11" s="120">
        <f t="shared" si="0"/>
        <v>0</v>
      </c>
      <c r="P11" s="120">
        <f t="shared" si="0"/>
        <v>0</v>
      </c>
      <c r="Q11" s="120">
        <f t="shared" si="0"/>
        <v>0</v>
      </c>
      <c r="R11" s="120">
        <f t="shared" si="0"/>
        <v>0</v>
      </c>
      <c r="S11" s="120">
        <f t="shared" si="0"/>
        <v>2599000000</v>
      </c>
      <c r="T11" s="120">
        <f t="shared" si="0"/>
        <v>0</v>
      </c>
      <c r="U11" s="120">
        <f t="shared" si="0"/>
        <v>0</v>
      </c>
      <c r="V11" s="120">
        <f t="shared" si="0"/>
        <v>178790000</v>
      </c>
      <c r="W11" s="345"/>
    </row>
    <row r="12" spans="1:23" ht="31.5">
      <c r="A12" s="12"/>
      <c r="B12" s="12" t="s">
        <v>576</v>
      </c>
      <c r="C12" s="12"/>
      <c r="D12" s="126" t="s">
        <v>577</v>
      </c>
      <c r="E12" s="24">
        <f>SUM(F12:M12)</f>
        <v>2772790000</v>
      </c>
      <c r="F12" s="131">
        <f aca="true" t="shared" si="1" ref="F12:M12">SUM(F13:F25)</f>
        <v>0</v>
      </c>
      <c r="G12" s="131">
        <f t="shared" si="1"/>
        <v>0</v>
      </c>
      <c r="H12" s="131">
        <f t="shared" si="1"/>
        <v>0</v>
      </c>
      <c r="I12" s="131">
        <f t="shared" si="1"/>
        <v>0</v>
      </c>
      <c r="J12" s="131">
        <f t="shared" si="1"/>
        <v>2594000000</v>
      </c>
      <c r="K12" s="131">
        <f t="shared" si="1"/>
        <v>0</v>
      </c>
      <c r="L12" s="131">
        <f t="shared" si="1"/>
        <v>0</v>
      </c>
      <c r="M12" s="258">
        <f t="shared" si="1"/>
        <v>178790000</v>
      </c>
      <c r="N12" s="24">
        <f>SUM(O12:V12)</f>
        <v>2777790000</v>
      </c>
      <c r="O12" s="131">
        <f aca="true" t="shared" si="2" ref="O12:V12">SUM(O13:O25)</f>
        <v>0</v>
      </c>
      <c r="P12" s="131">
        <f t="shared" si="2"/>
        <v>0</v>
      </c>
      <c r="Q12" s="131">
        <f t="shared" si="2"/>
        <v>0</v>
      </c>
      <c r="R12" s="131">
        <f t="shared" si="2"/>
        <v>0</v>
      </c>
      <c r="S12" s="131">
        <f t="shared" si="2"/>
        <v>2599000000</v>
      </c>
      <c r="T12" s="131">
        <f t="shared" si="2"/>
        <v>0</v>
      </c>
      <c r="U12" s="131">
        <f t="shared" si="2"/>
        <v>0</v>
      </c>
      <c r="V12" s="258">
        <f t="shared" si="2"/>
        <v>178790000</v>
      </c>
      <c r="W12" s="207"/>
    </row>
    <row r="13" spans="1:23" ht="18">
      <c r="A13" s="12"/>
      <c r="B13" s="12"/>
      <c r="C13" s="12" t="s">
        <v>578</v>
      </c>
      <c r="D13" s="19" t="s">
        <v>939</v>
      </c>
      <c r="E13" s="93">
        <f aca="true" t="shared" si="3" ref="E13:E44">SUM(F13:M13)</f>
        <v>136290000</v>
      </c>
      <c r="F13" s="94">
        <v>0</v>
      </c>
      <c r="G13" s="94">
        <v>0</v>
      </c>
      <c r="H13" s="94">
        <v>0</v>
      </c>
      <c r="I13" s="94">
        <v>0</v>
      </c>
      <c r="J13" s="94">
        <v>122000000</v>
      </c>
      <c r="K13" s="94">
        <v>0</v>
      </c>
      <c r="L13" s="94">
        <v>0</v>
      </c>
      <c r="M13" s="197">
        <v>14290000</v>
      </c>
      <c r="N13" s="93">
        <f aca="true" t="shared" si="4" ref="N13:N34">SUM(O13:V13)</f>
        <v>136290000</v>
      </c>
      <c r="O13" s="94">
        <v>0</v>
      </c>
      <c r="P13" s="94">
        <v>0</v>
      </c>
      <c r="Q13" s="94">
        <v>0</v>
      </c>
      <c r="R13" s="94">
        <v>0</v>
      </c>
      <c r="S13" s="94">
        <v>122000000</v>
      </c>
      <c r="T13" s="94">
        <v>0</v>
      </c>
      <c r="U13" s="94">
        <v>0</v>
      </c>
      <c r="V13" s="197">
        <v>14290000</v>
      </c>
      <c r="W13" s="302" t="s">
        <v>1400</v>
      </c>
    </row>
    <row r="14" spans="1:23" ht="18">
      <c r="A14" s="12"/>
      <c r="B14" s="12"/>
      <c r="C14" s="12" t="s">
        <v>893</v>
      </c>
      <c r="D14" s="19" t="s">
        <v>580</v>
      </c>
      <c r="E14" s="93">
        <f t="shared" si="3"/>
        <v>68000000</v>
      </c>
      <c r="F14" s="94">
        <v>0</v>
      </c>
      <c r="G14" s="94">
        <v>0</v>
      </c>
      <c r="H14" s="94">
        <v>0</v>
      </c>
      <c r="I14" s="94">
        <v>0</v>
      </c>
      <c r="J14" s="94">
        <v>65000000</v>
      </c>
      <c r="K14" s="94">
        <v>0</v>
      </c>
      <c r="L14" s="94">
        <v>0</v>
      </c>
      <c r="M14" s="197">
        <v>3000000</v>
      </c>
      <c r="N14" s="93">
        <f t="shared" si="4"/>
        <v>73000000</v>
      </c>
      <c r="O14" s="94">
        <v>0</v>
      </c>
      <c r="P14" s="94">
        <v>0</v>
      </c>
      <c r="Q14" s="94">
        <v>0</v>
      </c>
      <c r="R14" s="94">
        <v>0</v>
      </c>
      <c r="S14" s="94">
        <f>65000000+5000000</f>
        <v>70000000</v>
      </c>
      <c r="T14" s="94">
        <v>0</v>
      </c>
      <c r="U14" s="94">
        <v>0</v>
      </c>
      <c r="V14" s="197">
        <v>3000000</v>
      </c>
      <c r="W14" s="302" t="s">
        <v>1401</v>
      </c>
    </row>
    <row r="15" spans="1:23" ht="18">
      <c r="A15" s="12"/>
      <c r="B15" s="12"/>
      <c r="C15" s="12" t="s">
        <v>579</v>
      </c>
      <c r="D15" s="19" t="s">
        <v>1181</v>
      </c>
      <c r="E15" s="93">
        <f t="shared" si="3"/>
        <v>22500000</v>
      </c>
      <c r="F15" s="94"/>
      <c r="G15" s="94"/>
      <c r="H15" s="94"/>
      <c r="I15" s="94"/>
      <c r="J15" s="94">
        <v>22500000</v>
      </c>
      <c r="K15" s="94">
        <v>0</v>
      </c>
      <c r="L15" s="94">
        <v>0</v>
      </c>
      <c r="M15" s="197">
        <v>0</v>
      </c>
      <c r="N15" s="93">
        <f t="shared" si="4"/>
        <v>22500000</v>
      </c>
      <c r="O15" s="94"/>
      <c r="P15" s="94"/>
      <c r="Q15" s="94"/>
      <c r="R15" s="94"/>
      <c r="S15" s="94">
        <v>22500000</v>
      </c>
      <c r="T15" s="94">
        <v>0</v>
      </c>
      <c r="U15" s="94">
        <v>0</v>
      </c>
      <c r="V15" s="197">
        <v>0</v>
      </c>
      <c r="W15" s="303">
        <v>57012</v>
      </c>
    </row>
    <row r="16" spans="1:23" ht="18">
      <c r="A16" s="12"/>
      <c r="B16" s="12"/>
      <c r="C16" s="12" t="s">
        <v>581</v>
      </c>
      <c r="D16" s="19" t="s">
        <v>1180</v>
      </c>
      <c r="E16" s="93">
        <f t="shared" si="3"/>
        <v>1000000</v>
      </c>
      <c r="F16" s="94"/>
      <c r="G16" s="94"/>
      <c r="H16" s="94"/>
      <c r="I16" s="94"/>
      <c r="J16" s="94">
        <v>1000000</v>
      </c>
      <c r="K16" s="94">
        <v>0</v>
      </c>
      <c r="L16" s="94">
        <v>0</v>
      </c>
      <c r="M16" s="197">
        <v>0</v>
      </c>
      <c r="N16" s="93">
        <f t="shared" si="4"/>
        <v>1000000</v>
      </c>
      <c r="O16" s="94"/>
      <c r="P16" s="94"/>
      <c r="Q16" s="94"/>
      <c r="R16" s="94"/>
      <c r="S16" s="94">
        <v>1000000</v>
      </c>
      <c r="T16" s="94">
        <v>0</v>
      </c>
      <c r="U16" s="94">
        <v>0</v>
      </c>
      <c r="V16" s="197">
        <v>0</v>
      </c>
      <c r="W16" s="303">
        <v>57013</v>
      </c>
    </row>
    <row r="17" spans="1:23" ht="18">
      <c r="A17" s="12"/>
      <c r="B17" s="12"/>
      <c r="C17" s="12" t="s">
        <v>583</v>
      </c>
      <c r="D17" s="19" t="s">
        <v>582</v>
      </c>
      <c r="E17" s="93">
        <f t="shared" si="3"/>
        <v>678500000</v>
      </c>
      <c r="F17" s="94">
        <v>0</v>
      </c>
      <c r="G17" s="94">
        <v>0</v>
      </c>
      <c r="H17" s="94">
        <v>0</v>
      </c>
      <c r="I17" s="94">
        <v>0</v>
      </c>
      <c r="J17" s="94">
        <v>620000000</v>
      </c>
      <c r="K17" s="94">
        <v>0</v>
      </c>
      <c r="L17" s="94">
        <v>0</v>
      </c>
      <c r="M17" s="197">
        <v>58500000</v>
      </c>
      <c r="N17" s="93">
        <f t="shared" si="4"/>
        <v>678500000</v>
      </c>
      <c r="O17" s="94">
        <v>0</v>
      </c>
      <c r="P17" s="94">
        <v>0</v>
      </c>
      <c r="Q17" s="94">
        <v>0</v>
      </c>
      <c r="R17" s="94">
        <v>0</v>
      </c>
      <c r="S17" s="94">
        <v>620000000</v>
      </c>
      <c r="T17" s="94">
        <v>0</v>
      </c>
      <c r="U17" s="94">
        <v>0</v>
      </c>
      <c r="V17" s="197">
        <v>58500000</v>
      </c>
      <c r="W17" s="303" t="s">
        <v>1402</v>
      </c>
    </row>
    <row r="18" spans="1:23" ht="30">
      <c r="A18" s="12"/>
      <c r="B18" s="12"/>
      <c r="C18" s="12" t="s">
        <v>585</v>
      </c>
      <c r="D18" s="19" t="s">
        <v>584</v>
      </c>
      <c r="E18" s="93">
        <f t="shared" si="3"/>
        <v>45000000</v>
      </c>
      <c r="F18" s="94">
        <v>0</v>
      </c>
      <c r="G18" s="94">
        <v>0</v>
      </c>
      <c r="H18" s="94">
        <v>0</v>
      </c>
      <c r="I18" s="94">
        <v>0</v>
      </c>
      <c r="J18" s="94">
        <v>45000000</v>
      </c>
      <c r="K18" s="94">
        <v>0</v>
      </c>
      <c r="L18" s="94">
        <v>0</v>
      </c>
      <c r="M18" s="197">
        <v>0</v>
      </c>
      <c r="N18" s="93">
        <f t="shared" si="4"/>
        <v>45000000</v>
      </c>
      <c r="O18" s="94">
        <v>0</v>
      </c>
      <c r="P18" s="94">
        <v>0</v>
      </c>
      <c r="Q18" s="94">
        <v>0</v>
      </c>
      <c r="R18" s="94">
        <v>0</v>
      </c>
      <c r="S18" s="94">
        <v>45000000</v>
      </c>
      <c r="T18" s="94">
        <v>0</v>
      </c>
      <c r="U18" s="94">
        <v>0</v>
      </c>
      <c r="V18" s="197">
        <v>0</v>
      </c>
      <c r="W18" s="303" t="s">
        <v>1403</v>
      </c>
    </row>
    <row r="19" spans="1:23" ht="18">
      <c r="A19" s="12"/>
      <c r="B19" s="12"/>
      <c r="C19" s="12" t="s">
        <v>586</v>
      </c>
      <c r="D19" s="19" t="s">
        <v>1207</v>
      </c>
      <c r="E19" s="93">
        <f t="shared" si="3"/>
        <v>145800000</v>
      </c>
      <c r="F19" s="94"/>
      <c r="G19" s="94"/>
      <c r="H19" s="94"/>
      <c r="I19" s="94"/>
      <c r="J19" s="167">
        <v>120000000</v>
      </c>
      <c r="K19" s="167">
        <v>0</v>
      </c>
      <c r="L19" s="167">
        <v>0</v>
      </c>
      <c r="M19" s="301">
        <v>25800000</v>
      </c>
      <c r="N19" s="93">
        <f t="shared" si="4"/>
        <v>145800000</v>
      </c>
      <c r="O19" s="94"/>
      <c r="P19" s="94"/>
      <c r="Q19" s="94"/>
      <c r="R19" s="94"/>
      <c r="S19" s="167">
        <v>120000000</v>
      </c>
      <c r="T19" s="167">
        <v>0</v>
      </c>
      <c r="U19" s="167">
        <v>0</v>
      </c>
      <c r="V19" s="301">
        <v>25800000</v>
      </c>
      <c r="W19" s="303">
        <v>57014</v>
      </c>
    </row>
    <row r="20" spans="1:23" ht="18">
      <c r="A20" s="12"/>
      <c r="B20" s="12"/>
      <c r="C20" s="12" t="s">
        <v>588</v>
      </c>
      <c r="D20" s="19" t="s">
        <v>587</v>
      </c>
      <c r="E20" s="93">
        <f t="shared" si="3"/>
        <v>189200000</v>
      </c>
      <c r="F20" s="94">
        <v>0</v>
      </c>
      <c r="G20" s="94">
        <v>0</v>
      </c>
      <c r="H20" s="94">
        <v>0</v>
      </c>
      <c r="I20" s="94">
        <v>0</v>
      </c>
      <c r="J20" s="94">
        <v>180000000</v>
      </c>
      <c r="K20" s="94">
        <v>0</v>
      </c>
      <c r="L20" s="94">
        <v>0</v>
      </c>
      <c r="M20" s="197">
        <v>9200000</v>
      </c>
      <c r="N20" s="93">
        <f t="shared" si="4"/>
        <v>189200000</v>
      </c>
      <c r="O20" s="94">
        <v>0</v>
      </c>
      <c r="P20" s="94">
        <v>0</v>
      </c>
      <c r="Q20" s="94">
        <v>0</v>
      </c>
      <c r="R20" s="94">
        <v>0</v>
      </c>
      <c r="S20" s="94">
        <v>180000000</v>
      </c>
      <c r="T20" s="94">
        <v>0</v>
      </c>
      <c r="U20" s="94">
        <v>0</v>
      </c>
      <c r="V20" s="197">
        <v>9200000</v>
      </c>
      <c r="W20" s="302" t="s">
        <v>1404</v>
      </c>
    </row>
    <row r="21" spans="1:23" ht="18">
      <c r="A21" s="12"/>
      <c r="B21" s="12"/>
      <c r="C21" s="12" t="s">
        <v>590</v>
      </c>
      <c r="D21" s="19" t="s">
        <v>1182</v>
      </c>
      <c r="E21" s="93">
        <f t="shared" si="3"/>
        <v>38500000</v>
      </c>
      <c r="F21" s="94"/>
      <c r="G21" s="94">
        <v>0</v>
      </c>
      <c r="H21" s="94">
        <v>0</v>
      </c>
      <c r="I21" s="94">
        <v>0</v>
      </c>
      <c r="J21" s="94">
        <v>38500000</v>
      </c>
      <c r="K21" s="94">
        <v>0</v>
      </c>
      <c r="L21" s="94">
        <v>0</v>
      </c>
      <c r="M21" s="197">
        <v>0</v>
      </c>
      <c r="N21" s="93">
        <f t="shared" si="4"/>
        <v>38500000</v>
      </c>
      <c r="O21" s="94"/>
      <c r="P21" s="94">
        <v>0</v>
      </c>
      <c r="Q21" s="94">
        <v>0</v>
      </c>
      <c r="R21" s="94">
        <v>0</v>
      </c>
      <c r="S21" s="94">
        <v>38500000</v>
      </c>
      <c r="T21" s="94">
        <v>0</v>
      </c>
      <c r="U21" s="94">
        <v>0</v>
      </c>
      <c r="V21" s="197">
        <v>0</v>
      </c>
      <c r="W21" s="303">
        <v>57015</v>
      </c>
    </row>
    <row r="22" spans="1:23" ht="18">
      <c r="A22" s="12"/>
      <c r="B22" s="12"/>
      <c r="C22" s="12" t="s">
        <v>591</v>
      </c>
      <c r="D22" s="19" t="s">
        <v>589</v>
      </c>
      <c r="E22" s="93">
        <f t="shared" si="3"/>
        <v>230000000</v>
      </c>
      <c r="F22" s="94">
        <v>0</v>
      </c>
      <c r="G22" s="94">
        <v>0</v>
      </c>
      <c r="H22" s="94">
        <v>0</v>
      </c>
      <c r="I22" s="94">
        <v>0</v>
      </c>
      <c r="J22" s="167">
        <v>230000000</v>
      </c>
      <c r="K22" s="94">
        <v>0</v>
      </c>
      <c r="L22" s="94">
        <v>0</v>
      </c>
      <c r="M22" s="197">
        <v>0</v>
      </c>
      <c r="N22" s="93">
        <f t="shared" si="4"/>
        <v>230000000</v>
      </c>
      <c r="O22" s="94">
        <v>0</v>
      </c>
      <c r="P22" s="94">
        <v>0</v>
      </c>
      <c r="Q22" s="94">
        <v>0</v>
      </c>
      <c r="R22" s="94">
        <v>0</v>
      </c>
      <c r="S22" s="167">
        <v>230000000</v>
      </c>
      <c r="T22" s="94">
        <v>0</v>
      </c>
      <c r="U22" s="94">
        <v>0</v>
      </c>
      <c r="V22" s="197">
        <v>0</v>
      </c>
      <c r="W22" s="303" t="s">
        <v>1405</v>
      </c>
    </row>
    <row r="23" spans="1:23" ht="18">
      <c r="A23" s="12"/>
      <c r="B23" s="12"/>
      <c r="C23" s="12" t="s">
        <v>593</v>
      </c>
      <c r="D23" s="19" t="s">
        <v>592</v>
      </c>
      <c r="E23" s="93">
        <f t="shared" si="3"/>
        <v>676000000</v>
      </c>
      <c r="F23" s="94">
        <v>0</v>
      </c>
      <c r="G23" s="94">
        <v>0</v>
      </c>
      <c r="H23" s="94">
        <v>0</v>
      </c>
      <c r="I23" s="94">
        <v>0</v>
      </c>
      <c r="J23" s="94">
        <v>650000000</v>
      </c>
      <c r="K23" s="94">
        <v>0</v>
      </c>
      <c r="L23" s="94">
        <v>0</v>
      </c>
      <c r="M23" s="197">
        <v>26000000</v>
      </c>
      <c r="N23" s="93">
        <f t="shared" si="4"/>
        <v>676000000</v>
      </c>
      <c r="O23" s="94">
        <v>0</v>
      </c>
      <c r="P23" s="94">
        <v>0</v>
      </c>
      <c r="Q23" s="94">
        <v>0</v>
      </c>
      <c r="R23" s="94">
        <v>0</v>
      </c>
      <c r="S23" s="94">
        <v>650000000</v>
      </c>
      <c r="T23" s="94">
        <v>0</v>
      </c>
      <c r="U23" s="94">
        <v>0</v>
      </c>
      <c r="V23" s="197">
        <v>26000000</v>
      </c>
      <c r="W23" s="303" t="s">
        <v>1406</v>
      </c>
    </row>
    <row r="24" spans="1:23" ht="18">
      <c r="A24" s="12"/>
      <c r="B24" s="12"/>
      <c r="C24" s="12" t="s">
        <v>1110</v>
      </c>
      <c r="D24" s="19" t="s">
        <v>940</v>
      </c>
      <c r="E24" s="93">
        <f t="shared" si="3"/>
        <v>316000000</v>
      </c>
      <c r="F24" s="94">
        <v>0</v>
      </c>
      <c r="G24" s="94">
        <v>0</v>
      </c>
      <c r="H24" s="94">
        <v>0</v>
      </c>
      <c r="I24" s="94">
        <v>0</v>
      </c>
      <c r="J24" s="167">
        <v>300000000</v>
      </c>
      <c r="K24" s="167">
        <v>0</v>
      </c>
      <c r="L24" s="167">
        <v>0</v>
      </c>
      <c r="M24" s="301">
        <v>16000000</v>
      </c>
      <c r="N24" s="93">
        <f t="shared" si="4"/>
        <v>316000000</v>
      </c>
      <c r="O24" s="94">
        <v>0</v>
      </c>
      <c r="P24" s="94">
        <v>0</v>
      </c>
      <c r="Q24" s="94">
        <v>0</v>
      </c>
      <c r="R24" s="94">
        <v>0</v>
      </c>
      <c r="S24" s="167">
        <v>300000000</v>
      </c>
      <c r="T24" s="167">
        <v>0</v>
      </c>
      <c r="U24" s="167">
        <v>0</v>
      </c>
      <c r="V24" s="301">
        <v>16000000</v>
      </c>
      <c r="W24" s="303" t="s">
        <v>1407</v>
      </c>
    </row>
    <row r="25" spans="1:23" ht="18">
      <c r="A25" s="12"/>
      <c r="B25" s="12"/>
      <c r="C25" s="12" t="s">
        <v>1111</v>
      </c>
      <c r="D25" s="19" t="s">
        <v>594</v>
      </c>
      <c r="E25" s="93">
        <f t="shared" si="3"/>
        <v>226000000</v>
      </c>
      <c r="F25" s="94">
        <v>0</v>
      </c>
      <c r="G25" s="94">
        <v>0</v>
      </c>
      <c r="H25" s="94">
        <v>0</v>
      </c>
      <c r="I25" s="94">
        <v>0</v>
      </c>
      <c r="J25" s="94">
        <v>200000000</v>
      </c>
      <c r="K25" s="94">
        <v>0</v>
      </c>
      <c r="L25" s="94">
        <v>0</v>
      </c>
      <c r="M25" s="197">
        <v>26000000</v>
      </c>
      <c r="N25" s="93">
        <f t="shared" si="4"/>
        <v>226000000</v>
      </c>
      <c r="O25" s="94">
        <v>0</v>
      </c>
      <c r="P25" s="94">
        <v>0</v>
      </c>
      <c r="Q25" s="94">
        <v>0</v>
      </c>
      <c r="R25" s="94">
        <v>0</v>
      </c>
      <c r="S25" s="94">
        <v>200000000</v>
      </c>
      <c r="T25" s="94">
        <v>0</v>
      </c>
      <c r="U25" s="94">
        <v>0</v>
      </c>
      <c r="V25" s="197">
        <v>26000000</v>
      </c>
      <c r="W25" s="303" t="s">
        <v>1408</v>
      </c>
    </row>
    <row r="26" spans="1:23" ht="18">
      <c r="A26" s="12" t="s">
        <v>118</v>
      </c>
      <c r="B26" s="12"/>
      <c r="C26" s="12"/>
      <c r="D26" s="82" t="s">
        <v>42</v>
      </c>
      <c r="E26" s="24">
        <f t="shared" si="3"/>
        <v>456141132</v>
      </c>
      <c r="F26" s="120">
        <f aca="true" t="shared" si="5" ref="F26:M26">F27+F35+F45</f>
        <v>0</v>
      </c>
      <c r="G26" s="120">
        <f t="shared" si="5"/>
        <v>0</v>
      </c>
      <c r="H26" s="120">
        <f t="shared" si="5"/>
        <v>29053644</v>
      </c>
      <c r="I26" s="120">
        <f t="shared" si="5"/>
        <v>0</v>
      </c>
      <c r="J26" s="120">
        <f t="shared" si="5"/>
        <v>427087488</v>
      </c>
      <c r="K26" s="120">
        <f t="shared" si="5"/>
        <v>0</v>
      </c>
      <c r="L26" s="120">
        <f t="shared" si="5"/>
        <v>0</v>
      </c>
      <c r="M26" s="127">
        <f t="shared" si="5"/>
        <v>0</v>
      </c>
      <c r="N26" s="24">
        <f t="shared" si="4"/>
        <v>476141132</v>
      </c>
      <c r="O26" s="120">
        <f aca="true" t="shared" si="6" ref="O26:V26">O27+O35+O45</f>
        <v>0</v>
      </c>
      <c r="P26" s="120">
        <f t="shared" si="6"/>
        <v>0</v>
      </c>
      <c r="Q26" s="120">
        <f t="shared" si="6"/>
        <v>29053644</v>
      </c>
      <c r="R26" s="120">
        <f t="shared" si="6"/>
        <v>0</v>
      </c>
      <c r="S26" s="120">
        <f t="shared" si="6"/>
        <v>427087488</v>
      </c>
      <c r="T26" s="120">
        <f t="shared" si="6"/>
        <v>0</v>
      </c>
      <c r="U26" s="120">
        <f t="shared" si="6"/>
        <v>0</v>
      </c>
      <c r="V26" s="127">
        <f t="shared" si="6"/>
        <v>20000000</v>
      </c>
      <c r="W26" s="303"/>
    </row>
    <row r="27" spans="1:23" ht="18">
      <c r="A27" s="12"/>
      <c r="B27" s="12" t="s">
        <v>595</v>
      </c>
      <c r="C27" s="12"/>
      <c r="D27" s="82" t="s">
        <v>596</v>
      </c>
      <c r="E27" s="24">
        <f t="shared" si="3"/>
        <v>245987488</v>
      </c>
      <c r="F27" s="120">
        <f aca="true" t="shared" si="7" ref="F27:M27">SUM(F28:F34)</f>
        <v>0</v>
      </c>
      <c r="G27" s="120">
        <f t="shared" si="7"/>
        <v>0</v>
      </c>
      <c r="H27" s="120">
        <f t="shared" si="7"/>
        <v>0</v>
      </c>
      <c r="I27" s="120">
        <f t="shared" si="7"/>
        <v>0</v>
      </c>
      <c r="J27" s="120">
        <f t="shared" si="7"/>
        <v>245987488</v>
      </c>
      <c r="K27" s="120">
        <f t="shared" si="7"/>
        <v>0</v>
      </c>
      <c r="L27" s="120">
        <f t="shared" si="7"/>
        <v>0</v>
      </c>
      <c r="M27" s="127">
        <f t="shared" si="7"/>
        <v>0</v>
      </c>
      <c r="N27" s="24">
        <f t="shared" si="4"/>
        <v>265987488</v>
      </c>
      <c r="O27" s="120">
        <f aca="true" t="shared" si="8" ref="O27:V27">SUM(O28:O34)</f>
        <v>0</v>
      </c>
      <c r="P27" s="120">
        <f t="shared" si="8"/>
        <v>0</v>
      </c>
      <c r="Q27" s="120">
        <f t="shared" si="8"/>
        <v>0</v>
      </c>
      <c r="R27" s="120">
        <f t="shared" si="8"/>
        <v>0</v>
      </c>
      <c r="S27" s="120">
        <f t="shared" si="8"/>
        <v>245987488</v>
      </c>
      <c r="T27" s="120">
        <f t="shared" si="8"/>
        <v>0</v>
      </c>
      <c r="U27" s="120">
        <f t="shared" si="8"/>
        <v>0</v>
      </c>
      <c r="V27" s="127">
        <f t="shared" si="8"/>
        <v>20000000</v>
      </c>
      <c r="W27" s="303"/>
    </row>
    <row r="28" spans="1:23" ht="30">
      <c r="A28" s="12"/>
      <c r="B28" s="12"/>
      <c r="C28" s="12" t="s">
        <v>597</v>
      </c>
      <c r="D28" s="19" t="s">
        <v>1178</v>
      </c>
      <c r="E28" s="93">
        <f t="shared" si="3"/>
        <v>5000000</v>
      </c>
      <c r="F28" s="94">
        <v>0</v>
      </c>
      <c r="G28" s="94">
        <v>0</v>
      </c>
      <c r="H28" s="94">
        <v>0</v>
      </c>
      <c r="I28" s="94">
        <v>0</v>
      </c>
      <c r="J28" s="94">
        <v>5000000</v>
      </c>
      <c r="K28" s="94">
        <v>0</v>
      </c>
      <c r="L28" s="94">
        <v>0</v>
      </c>
      <c r="M28" s="197">
        <v>0</v>
      </c>
      <c r="N28" s="93">
        <f t="shared" si="4"/>
        <v>5000000</v>
      </c>
      <c r="O28" s="94">
        <v>0</v>
      </c>
      <c r="P28" s="94">
        <v>0</v>
      </c>
      <c r="Q28" s="94">
        <v>0</v>
      </c>
      <c r="R28" s="94">
        <v>0</v>
      </c>
      <c r="S28" s="94">
        <v>5000000</v>
      </c>
      <c r="T28" s="94">
        <v>0</v>
      </c>
      <c r="U28" s="94">
        <v>0</v>
      </c>
      <c r="V28" s="197">
        <v>0</v>
      </c>
      <c r="W28" s="303" t="s">
        <v>1409</v>
      </c>
    </row>
    <row r="29" spans="1:23" ht="30">
      <c r="A29" s="12"/>
      <c r="B29" s="12"/>
      <c r="C29" s="12" t="s">
        <v>598</v>
      </c>
      <c r="D29" s="19" t="s">
        <v>1179</v>
      </c>
      <c r="E29" s="93">
        <f t="shared" si="3"/>
        <v>40000000</v>
      </c>
      <c r="F29" s="94">
        <v>0</v>
      </c>
      <c r="G29" s="94">
        <v>0</v>
      </c>
      <c r="H29" s="94">
        <v>0</v>
      </c>
      <c r="I29" s="94">
        <v>0</v>
      </c>
      <c r="J29" s="94">
        <v>40000000</v>
      </c>
      <c r="K29" s="94">
        <v>0</v>
      </c>
      <c r="L29" s="94">
        <v>0</v>
      </c>
      <c r="M29" s="197">
        <v>0</v>
      </c>
      <c r="N29" s="93">
        <f t="shared" si="4"/>
        <v>40000000</v>
      </c>
      <c r="O29" s="94">
        <v>0</v>
      </c>
      <c r="P29" s="94">
        <v>0</v>
      </c>
      <c r="Q29" s="94">
        <v>0</v>
      </c>
      <c r="R29" s="94">
        <v>0</v>
      </c>
      <c r="S29" s="94">
        <v>40000000</v>
      </c>
      <c r="T29" s="94">
        <v>0</v>
      </c>
      <c r="U29" s="94">
        <v>0</v>
      </c>
      <c r="V29" s="197">
        <v>0</v>
      </c>
      <c r="W29" s="303" t="s">
        <v>1410</v>
      </c>
    </row>
    <row r="30" spans="1:23" ht="18">
      <c r="A30" s="12"/>
      <c r="B30" s="12"/>
      <c r="C30" s="12" t="s">
        <v>599</v>
      </c>
      <c r="D30" s="19" t="s">
        <v>938</v>
      </c>
      <c r="E30" s="93">
        <f t="shared" si="3"/>
        <v>60000000</v>
      </c>
      <c r="F30" s="94">
        <v>0</v>
      </c>
      <c r="G30" s="94">
        <v>0</v>
      </c>
      <c r="H30" s="94">
        <v>0</v>
      </c>
      <c r="I30" s="94">
        <v>0</v>
      </c>
      <c r="J30" s="94">
        <v>60000000</v>
      </c>
      <c r="K30" s="94">
        <v>0</v>
      </c>
      <c r="L30" s="94">
        <v>0</v>
      </c>
      <c r="M30" s="197">
        <v>0</v>
      </c>
      <c r="N30" s="93">
        <f t="shared" si="4"/>
        <v>60000000</v>
      </c>
      <c r="O30" s="94">
        <v>0</v>
      </c>
      <c r="P30" s="94">
        <v>0</v>
      </c>
      <c r="Q30" s="94">
        <v>0</v>
      </c>
      <c r="R30" s="94">
        <v>0</v>
      </c>
      <c r="S30" s="94">
        <v>60000000</v>
      </c>
      <c r="T30" s="94">
        <v>0</v>
      </c>
      <c r="U30" s="94">
        <v>0</v>
      </c>
      <c r="V30" s="197">
        <v>0</v>
      </c>
      <c r="W30" s="303" t="s">
        <v>1411</v>
      </c>
    </row>
    <row r="31" spans="1:23" ht="18">
      <c r="A31" s="12"/>
      <c r="B31" s="12"/>
      <c r="C31" s="12" t="s">
        <v>600</v>
      </c>
      <c r="D31" s="19" t="s">
        <v>603</v>
      </c>
      <c r="E31" s="93">
        <f t="shared" si="3"/>
        <v>50000000</v>
      </c>
      <c r="F31" s="94">
        <v>0</v>
      </c>
      <c r="G31" s="94">
        <v>0</v>
      </c>
      <c r="H31" s="94">
        <v>0</v>
      </c>
      <c r="I31" s="94">
        <v>0</v>
      </c>
      <c r="J31" s="94">
        <v>50000000</v>
      </c>
      <c r="K31" s="94">
        <v>0</v>
      </c>
      <c r="L31" s="94">
        <v>0</v>
      </c>
      <c r="M31" s="197">
        <v>0</v>
      </c>
      <c r="N31" s="93">
        <f t="shared" si="4"/>
        <v>70000000</v>
      </c>
      <c r="O31" s="94">
        <v>0</v>
      </c>
      <c r="P31" s="94">
        <v>0</v>
      </c>
      <c r="Q31" s="94">
        <v>0</v>
      </c>
      <c r="R31" s="94">
        <v>0</v>
      </c>
      <c r="S31" s="94">
        <v>50000000</v>
      </c>
      <c r="T31" s="94">
        <v>0</v>
      </c>
      <c r="U31" s="94">
        <v>0</v>
      </c>
      <c r="V31" s="197">
        <v>20000000</v>
      </c>
      <c r="W31" s="303" t="s">
        <v>1412</v>
      </c>
    </row>
    <row r="32" spans="1:23" ht="18">
      <c r="A32" s="12"/>
      <c r="B32" s="12"/>
      <c r="C32" s="12" t="s">
        <v>601</v>
      </c>
      <c r="D32" s="135" t="s">
        <v>605</v>
      </c>
      <c r="E32" s="93">
        <f t="shared" si="3"/>
        <v>40000000</v>
      </c>
      <c r="F32" s="94">
        <v>0</v>
      </c>
      <c r="G32" s="94">
        <v>0</v>
      </c>
      <c r="H32" s="94">
        <v>0</v>
      </c>
      <c r="I32" s="94">
        <v>0</v>
      </c>
      <c r="J32" s="94">
        <v>40000000</v>
      </c>
      <c r="K32" s="94">
        <v>0</v>
      </c>
      <c r="L32" s="94">
        <v>0</v>
      </c>
      <c r="M32" s="197">
        <v>0</v>
      </c>
      <c r="N32" s="93">
        <f t="shared" si="4"/>
        <v>40000000</v>
      </c>
      <c r="O32" s="94">
        <v>0</v>
      </c>
      <c r="P32" s="94">
        <v>0</v>
      </c>
      <c r="Q32" s="94">
        <v>0</v>
      </c>
      <c r="R32" s="94">
        <v>0</v>
      </c>
      <c r="S32" s="94">
        <v>40000000</v>
      </c>
      <c r="T32" s="94">
        <v>0</v>
      </c>
      <c r="U32" s="94">
        <v>0</v>
      </c>
      <c r="V32" s="197">
        <v>0</v>
      </c>
      <c r="W32" s="303" t="s">
        <v>1413</v>
      </c>
    </row>
    <row r="33" spans="1:23" ht="18">
      <c r="A33" s="12"/>
      <c r="B33" s="12"/>
      <c r="C33" s="12" t="s">
        <v>602</v>
      </c>
      <c r="D33" s="135" t="s">
        <v>937</v>
      </c>
      <c r="E33" s="93">
        <f t="shared" si="3"/>
        <v>50000000</v>
      </c>
      <c r="F33" s="94">
        <v>0</v>
      </c>
      <c r="G33" s="94">
        <v>0</v>
      </c>
      <c r="H33" s="94">
        <v>0</v>
      </c>
      <c r="I33" s="94">
        <v>0</v>
      </c>
      <c r="J33" s="94">
        <v>50000000</v>
      </c>
      <c r="K33" s="94">
        <v>0</v>
      </c>
      <c r="L33" s="94">
        <v>0</v>
      </c>
      <c r="M33" s="197">
        <v>0</v>
      </c>
      <c r="N33" s="93">
        <f t="shared" si="4"/>
        <v>50000000</v>
      </c>
      <c r="O33" s="94">
        <v>0</v>
      </c>
      <c r="P33" s="94">
        <v>0</v>
      </c>
      <c r="Q33" s="94">
        <v>0</v>
      </c>
      <c r="R33" s="94">
        <v>0</v>
      </c>
      <c r="S33" s="94">
        <v>50000000</v>
      </c>
      <c r="T33" s="94">
        <v>0</v>
      </c>
      <c r="U33" s="94">
        <v>0</v>
      </c>
      <c r="V33" s="197">
        <v>0</v>
      </c>
      <c r="W33" s="303" t="s">
        <v>1414</v>
      </c>
    </row>
    <row r="34" spans="1:23" ht="18">
      <c r="A34" s="12"/>
      <c r="B34" s="12"/>
      <c r="C34" s="12" t="s">
        <v>604</v>
      </c>
      <c r="D34" s="135" t="s">
        <v>606</v>
      </c>
      <c r="E34" s="93">
        <f t="shared" si="3"/>
        <v>987488</v>
      </c>
      <c r="F34" s="94">
        <v>0</v>
      </c>
      <c r="G34" s="94">
        <v>0</v>
      </c>
      <c r="H34" s="94">
        <v>0</v>
      </c>
      <c r="I34" s="94">
        <v>0</v>
      </c>
      <c r="J34" s="94">
        <v>987488</v>
      </c>
      <c r="K34" s="94">
        <v>0</v>
      </c>
      <c r="L34" s="94">
        <v>0</v>
      </c>
      <c r="M34" s="197">
        <v>0</v>
      </c>
      <c r="N34" s="93">
        <f t="shared" si="4"/>
        <v>987488</v>
      </c>
      <c r="O34" s="94">
        <v>0</v>
      </c>
      <c r="P34" s="94">
        <v>0</v>
      </c>
      <c r="Q34" s="94">
        <v>0</v>
      </c>
      <c r="R34" s="94">
        <v>0</v>
      </c>
      <c r="S34" s="94">
        <v>987488</v>
      </c>
      <c r="T34" s="94">
        <v>0</v>
      </c>
      <c r="U34" s="94">
        <v>0</v>
      </c>
      <c r="V34" s="197">
        <v>0</v>
      </c>
      <c r="W34" s="303" t="s">
        <v>1415</v>
      </c>
    </row>
    <row r="35" spans="1:23" ht="18">
      <c r="A35" s="12"/>
      <c r="B35" s="12" t="s">
        <v>607</v>
      </c>
      <c r="C35" s="12"/>
      <c r="D35" s="82" t="s">
        <v>608</v>
      </c>
      <c r="E35" s="24">
        <f>SUM(F35:M35)</f>
        <v>181100000</v>
      </c>
      <c r="F35" s="120">
        <f>SUM(F36:F44)</f>
        <v>0</v>
      </c>
      <c r="G35" s="120">
        <f aca="true" t="shared" si="9" ref="G35:M35">SUM(G36:G44)</f>
        <v>0</v>
      </c>
      <c r="H35" s="120">
        <f t="shared" si="9"/>
        <v>0</v>
      </c>
      <c r="I35" s="120">
        <f t="shared" si="9"/>
        <v>0</v>
      </c>
      <c r="J35" s="120">
        <f t="shared" si="9"/>
        <v>181100000</v>
      </c>
      <c r="K35" s="120">
        <f t="shared" si="9"/>
        <v>0</v>
      </c>
      <c r="L35" s="120">
        <f t="shared" si="9"/>
        <v>0</v>
      </c>
      <c r="M35" s="120">
        <f t="shared" si="9"/>
        <v>0</v>
      </c>
      <c r="N35" s="24">
        <f>SUM(O35:V35)</f>
        <v>181100000</v>
      </c>
      <c r="O35" s="120">
        <f>SUM(O36:O44)</f>
        <v>0</v>
      </c>
      <c r="P35" s="120">
        <f aca="true" t="shared" si="10" ref="P35:V35">SUM(P36:P44)</f>
        <v>0</v>
      </c>
      <c r="Q35" s="120">
        <f t="shared" si="10"/>
        <v>0</v>
      </c>
      <c r="R35" s="120">
        <f t="shared" si="10"/>
        <v>0</v>
      </c>
      <c r="S35" s="120">
        <f t="shared" si="10"/>
        <v>181100000</v>
      </c>
      <c r="T35" s="120">
        <f t="shared" si="10"/>
        <v>0</v>
      </c>
      <c r="U35" s="120">
        <f t="shared" si="10"/>
        <v>0</v>
      </c>
      <c r="V35" s="120">
        <f t="shared" si="10"/>
        <v>0</v>
      </c>
      <c r="W35" s="303"/>
    </row>
    <row r="36" spans="1:23" ht="18">
      <c r="A36" s="12"/>
      <c r="B36" s="12"/>
      <c r="C36" s="12" t="s">
        <v>609</v>
      </c>
      <c r="D36" s="19" t="s">
        <v>610</v>
      </c>
      <c r="E36" s="93">
        <f t="shared" si="3"/>
        <v>10000000</v>
      </c>
      <c r="F36" s="94">
        <v>0</v>
      </c>
      <c r="G36" s="94">
        <v>0</v>
      </c>
      <c r="H36" s="94">
        <v>0</v>
      </c>
      <c r="I36" s="94">
        <v>0</v>
      </c>
      <c r="J36" s="94">
        <v>10000000</v>
      </c>
      <c r="K36" s="94">
        <v>0</v>
      </c>
      <c r="L36" s="94">
        <v>0</v>
      </c>
      <c r="M36" s="197">
        <v>0</v>
      </c>
      <c r="N36" s="93">
        <f aca="true" t="shared" si="11" ref="N36:N55">SUM(O36:V36)</f>
        <v>10000000</v>
      </c>
      <c r="O36" s="94">
        <v>0</v>
      </c>
      <c r="P36" s="94">
        <v>0</v>
      </c>
      <c r="Q36" s="94">
        <v>0</v>
      </c>
      <c r="R36" s="94">
        <v>0</v>
      </c>
      <c r="S36" s="94">
        <v>10000000</v>
      </c>
      <c r="T36" s="94">
        <v>0</v>
      </c>
      <c r="U36" s="94">
        <v>0</v>
      </c>
      <c r="V36" s="197">
        <v>0</v>
      </c>
      <c r="W36" s="303" t="s">
        <v>1416</v>
      </c>
    </row>
    <row r="37" spans="1:23" ht="18">
      <c r="A37" s="12"/>
      <c r="B37" s="12"/>
      <c r="C37" s="12" t="s">
        <v>611</v>
      </c>
      <c r="D37" s="19" t="s">
        <v>612</v>
      </c>
      <c r="E37" s="93">
        <f t="shared" si="3"/>
        <v>10000000</v>
      </c>
      <c r="F37" s="94">
        <v>0</v>
      </c>
      <c r="G37" s="94">
        <v>0</v>
      </c>
      <c r="H37" s="94">
        <v>0</v>
      </c>
      <c r="I37" s="94">
        <v>0</v>
      </c>
      <c r="J37" s="94">
        <v>10000000</v>
      </c>
      <c r="K37" s="94">
        <v>0</v>
      </c>
      <c r="L37" s="94">
        <v>0</v>
      </c>
      <c r="M37" s="197">
        <v>0</v>
      </c>
      <c r="N37" s="93">
        <f t="shared" si="11"/>
        <v>10000000</v>
      </c>
      <c r="O37" s="94">
        <v>0</v>
      </c>
      <c r="P37" s="94">
        <v>0</v>
      </c>
      <c r="Q37" s="94">
        <v>0</v>
      </c>
      <c r="R37" s="94">
        <v>0</v>
      </c>
      <c r="S37" s="94">
        <v>10000000</v>
      </c>
      <c r="T37" s="94">
        <v>0</v>
      </c>
      <c r="U37" s="94">
        <v>0</v>
      </c>
      <c r="V37" s="197">
        <v>0</v>
      </c>
      <c r="W37" s="303" t="s">
        <v>1417</v>
      </c>
    </row>
    <row r="38" spans="1:23" ht="18">
      <c r="A38" s="12"/>
      <c r="B38" s="12"/>
      <c r="C38" s="12" t="s">
        <v>613</v>
      </c>
      <c r="D38" s="19" t="s">
        <v>615</v>
      </c>
      <c r="E38" s="93">
        <f t="shared" si="3"/>
        <v>16100000</v>
      </c>
      <c r="F38" s="94">
        <v>0</v>
      </c>
      <c r="G38" s="94">
        <v>0</v>
      </c>
      <c r="H38" s="94">
        <v>0</v>
      </c>
      <c r="I38" s="94">
        <v>0</v>
      </c>
      <c r="J38" s="94">
        <v>16100000</v>
      </c>
      <c r="K38" s="94">
        <v>0</v>
      </c>
      <c r="L38" s="94">
        <v>0</v>
      </c>
      <c r="M38" s="197">
        <v>0</v>
      </c>
      <c r="N38" s="93">
        <f t="shared" si="11"/>
        <v>16100000</v>
      </c>
      <c r="O38" s="94">
        <v>0</v>
      </c>
      <c r="P38" s="94">
        <v>0</v>
      </c>
      <c r="Q38" s="94">
        <v>0</v>
      </c>
      <c r="R38" s="94">
        <v>0</v>
      </c>
      <c r="S38" s="94">
        <v>16100000</v>
      </c>
      <c r="T38" s="94">
        <v>0</v>
      </c>
      <c r="U38" s="94">
        <v>0</v>
      </c>
      <c r="V38" s="197">
        <v>0</v>
      </c>
      <c r="W38" s="303" t="s">
        <v>1418</v>
      </c>
    </row>
    <row r="39" spans="1:23" ht="18">
      <c r="A39" s="12"/>
      <c r="B39" s="12"/>
      <c r="C39" s="12" t="s">
        <v>614</v>
      </c>
      <c r="D39" s="19" t="s">
        <v>942</v>
      </c>
      <c r="E39" s="93">
        <f t="shared" si="3"/>
        <v>40000000</v>
      </c>
      <c r="F39" s="94">
        <v>0</v>
      </c>
      <c r="G39" s="94">
        <v>0</v>
      </c>
      <c r="H39" s="94">
        <v>0</v>
      </c>
      <c r="I39" s="94">
        <v>0</v>
      </c>
      <c r="J39" s="94">
        <v>40000000</v>
      </c>
      <c r="K39" s="94">
        <v>0</v>
      </c>
      <c r="L39" s="94">
        <v>0</v>
      </c>
      <c r="M39" s="197">
        <v>0</v>
      </c>
      <c r="N39" s="93">
        <f t="shared" si="11"/>
        <v>40000000</v>
      </c>
      <c r="O39" s="94">
        <v>0</v>
      </c>
      <c r="P39" s="94">
        <v>0</v>
      </c>
      <c r="Q39" s="94">
        <v>0</v>
      </c>
      <c r="R39" s="94">
        <v>0</v>
      </c>
      <c r="S39" s="94">
        <v>40000000</v>
      </c>
      <c r="T39" s="94">
        <v>0</v>
      </c>
      <c r="U39" s="94">
        <v>0</v>
      </c>
      <c r="V39" s="197">
        <v>0</v>
      </c>
      <c r="W39" s="303" t="s">
        <v>1419</v>
      </c>
    </row>
    <row r="40" spans="1:23" ht="18">
      <c r="A40" s="12"/>
      <c r="B40" s="12"/>
      <c r="C40" s="12" t="s">
        <v>616</v>
      </c>
      <c r="D40" s="19" t="s">
        <v>941</v>
      </c>
      <c r="E40" s="93">
        <f t="shared" si="3"/>
        <v>45000000</v>
      </c>
      <c r="F40" s="94">
        <v>0</v>
      </c>
      <c r="G40" s="94">
        <v>0</v>
      </c>
      <c r="H40" s="94">
        <v>0</v>
      </c>
      <c r="I40" s="94">
        <v>0</v>
      </c>
      <c r="J40" s="94">
        <v>45000000</v>
      </c>
      <c r="K40" s="94">
        <v>0</v>
      </c>
      <c r="L40" s="94">
        <v>0</v>
      </c>
      <c r="M40" s="197">
        <v>0</v>
      </c>
      <c r="N40" s="93">
        <f t="shared" si="11"/>
        <v>45000000</v>
      </c>
      <c r="O40" s="94">
        <v>0</v>
      </c>
      <c r="P40" s="94">
        <v>0</v>
      </c>
      <c r="Q40" s="94">
        <v>0</v>
      </c>
      <c r="R40" s="94">
        <v>0</v>
      </c>
      <c r="S40" s="94">
        <v>45000000</v>
      </c>
      <c r="T40" s="94">
        <v>0</v>
      </c>
      <c r="U40" s="94">
        <v>0</v>
      </c>
      <c r="V40" s="197">
        <v>0</v>
      </c>
      <c r="W40" s="303" t="s">
        <v>1420</v>
      </c>
    </row>
    <row r="41" spans="1:23" ht="18">
      <c r="A41" s="12"/>
      <c r="B41" s="12"/>
      <c r="C41" s="12" t="s">
        <v>617</v>
      </c>
      <c r="D41" s="19" t="s">
        <v>618</v>
      </c>
      <c r="E41" s="93">
        <f t="shared" si="3"/>
        <v>5000000</v>
      </c>
      <c r="F41" s="94">
        <v>0</v>
      </c>
      <c r="G41" s="94">
        <v>0</v>
      </c>
      <c r="H41" s="94">
        <v>0</v>
      </c>
      <c r="I41" s="94">
        <v>0</v>
      </c>
      <c r="J41" s="94">
        <v>5000000</v>
      </c>
      <c r="K41" s="94">
        <v>0</v>
      </c>
      <c r="L41" s="94">
        <v>0</v>
      </c>
      <c r="M41" s="197">
        <v>0</v>
      </c>
      <c r="N41" s="93">
        <f t="shared" si="11"/>
        <v>5000000</v>
      </c>
      <c r="O41" s="94">
        <v>0</v>
      </c>
      <c r="P41" s="94">
        <v>0</v>
      </c>
      <c r="Q41" s="94">
        <v>0</v>
      </c>
      <c r="R41" s="94">
        <v>0</v>
      </c>
      <c r="S41" s="94">
        <v>5000000</v>
      </c>
      <c r="T41" s="94">
        <v>0</v>
      </c>
      <c r="U41" s="94">
        <v>0</v>
      </c>
      <c r="V41" s="197">
        <v>0</v>
      </c>
      <c r="W41" s="303" t="s">
        <v>1421</v>
      </c>
    </row>
    <row r="42" spans="1:23" ht="18">
      <c r="A42" s="12"/>
      <c r="B42" s="12"/>
      <c r="C42" s="12" t="s">
        <v>1124</v>
      </c>
      <c r="D42" s="19" t="s">
        <v>1184</v>
      </c>
      <c r="E42" s="93">
        <f t="shared" si="3"/>
        <v>5000000</v>
      </c>
      <c r="F42" s="94">
        <v>0</v>
      </c>
      <c r="G42" s="94">
        <v>0</v>
      </c>
      <c r="H42" s="94">
        <v>0</v>
      </c>
      <c r="I42" s="94">
        <v>0</v>
      </c>
      <c r="J42" s="94">
        <v>5000000</v>
      </c>
      <c r="K42" s="94">
        <v>0</v>
      </c>
      <c r="L42" s="94">
        <v>0</v>
      </c>
      <c r="M42" s="197">
        <v>0</v>
      </c>
      <c r="N42" s="93">
        <f t="shared" si="11"/>
        <v>5000000</v>
      </c>
      <c r="O42" s="94">
        <v>0</v>
      </c>
      <c r="P42" s="94">
        <v>0</v>
      </c>
      <c r="Q42" s="94">
        <v>0</v>
      </c>
      <c r="R42" s="94">
        <v>0</v>
      </c>
      <c r="S42" s="94">
        <v>5000000</v>
      </c>
      <c r="T42" s="94">
        <v>0</v>
      </c>
      <c r="U42" s="94">
        <v>0</v>
      </c>
      <c r="V42" s="197">
        <v>0</v>
      </c>
      <c r="W42" s="303">
        <v>57207</v>
      </c>
    </row>
    <row r="43" spans="1:23" ht="18">
      <c r="A43" s="12"/>
      <c r="B43" s="12"/>
      <c r="C43" s="12" t="s">
        <v>1522</v>
      </c>
      <c r="D43" s="19" t="s">
        <v>1523</v>
      </c>
      <c r="E43" s="93">
        <f t="shared" si="3"/>
        <v>50000000</v>
      </c>
      <c r="F43" s="94">
        <v>0</v>
      </c>
      <c r="G43" s="94">
        <v>0</v>
      </c>
      <c r="H43" s="94">
        <v>0</v>
      </c>
      <c r="I43" s="94">
        <v>0</v>
      </c>
      <c r="J43" s="94">
        <v>50000000</v>
      </c>
      <c r="K43" s="94">
        <v>0</v>
      </c>
      <c r="L43" s="94">
        <v>0</v>
      </c>
      <c r="M43" s="197">
        <v>0</v>
      </c>
      <c r="N43" s="93">
        <f t="shared" si="11"/>
        <v>50000000</v>
      </c>
      <c r="O43" s="94">
        <v>0</v>
      </c>
      <c r="P43" s="94">
        <v>0</v>
      </c>
      <c r="Q43" s="94">
        <v>0</v>
      </c>
      <c r="R43" s="94">
        <v>0</v>
      </c>
      <c r="S43" s="94">
        <v>50000000</v>
      </c>
      <c r="T43" s="94">
        <v>0</v>
      </c>
      <c r="U43" s="94">
        <v>0</v>
      </c>
      <c r="V43" s="197">
        <v>0</v>
      </c>
      <c r="W43" s="303">
        <v>57208</v>
      </c>
    </row>
    <row r="44" spans="1:23" ht="30">
      <c r="A44" s="12"/>
      <c r="B44" s="12"/>
      <c r="C44" s="12" t="s">
        <v>1550</v>
      </c>
      <c r="D44" s="19" t="s">
        <v>1551</v>
      </c>
      <c r="E44" s="93">
        <f t="shared" si="3"/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197">
        <v>0</v>
      </c>
      <c r="N44" s="93">
        <f t="shared" si="11"/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197">
        <v>0</v>
      </c>
      <c r="W44" s="303"/>
    </row>
    <row r="45" spans="1:23" s="129" customFormat="1" ht="18">
      <c r="A45" s="118"/>
      <c r="B45" s="12" t="s">
        <v>619</v>
      </c>
      <c r="C45" s="12"/>
      <c r="D45" s="82" t="s">
        <v>620</v>
      </c>
      <c r="E45" s="24">
        <f aca="true" t="shared" si="12" ref="E45:E55">SUM(F45:M45)</f>
        <v>29053644</v>
      </c>
      <c r="F45" s="120">
        <f aca="true" t="shared" si="13" ref="F45:M45">SUM(F46:F53)</f>
        <v>0</v>
      </c>
      <c r="G45" s="120">
        <f t="shared" si="13"/>
        <v>0</v>
      </c>
      <c r="H45" s="120">
        <f t="shared" si="13"/>
        <v>29053644</v>
      </c>
      <c r="I45" s="120">
        <f t="shared" si="13"/>
        <v>0</v>
      </c>
      <c r="J45" s="120">
        <f t="shared" si="13"/>
        <v>0</v>
      </c>
      <c r="K45" s="120">
        <f t="shared" si="13"/>
        <v>0</v>
      </c>
      <c r="L45" s="120">
        <f t="shared" si="13"/>
        <v>0</v>
      </c>
      <c r="M45" s="127">
        <f t="shared" si="13"/>
        <v>0</v>
      </c>
      <c r="N45" s="24">
        <f t="shared" si="11"/>
        <v>29053644</v>
      </c>
      <c r="O45" s="120">
        <f aca="true" t="shared" si="14" ref="O45:V45">SUM(O46:O53)</f>
        <v>0</v>
      </c>
      <c r="P45" s="120">
        <f t="shared" si="14"/>
        <v>0</v>
      </c>
      <c r="Q45" s="120">
        <f t="shared" si="14"/>
        <v>29053644</v>
      </c>
      <c r="R45" s="120">
        <f t="shared" si="14"/>
        <v>0</v>
      </c>
      <c r="S45" s="120">
        <f t="shared" si="14"/>
        <v>0</v>
      </c>
      <c r="T45" s="120">
        <f t="shared" si="14"/>
        <v>0</v>
      </c>
      <c r="U45" s="120">
        <f t="shared" si="14"/>
        <v>0</v>
      </c>
      <c r="V45" s="127">
        <f t="shared" si="14"/>
        <v>0</v>
      </c>
      <c r="W45" s="304"/>
    </row>
    <row r="46" spans="1:23" ht="18">
      <c r="A46" s="12"/>
      <c r="B46" s="12"/>
      <c r="C46" s="12" t="s">
        <v>621</v>
      </c>
      <c r="D46" s="19" t="s">
        <v>622</v>
      </c>
      <c r="E46" s="93">
        <f t="shared" si="12"/>
        <v>6100000</v>
      </c>
      <c r="F46" s="94">
        <v>0</v>
      </c>
      <c r="G46" s="94">
        <v>0</v>
      </c>
      <c r="H46" s="94">
        <v>6100000</v>
      </c>
      <c r="I46" s="94">
        <v>0</v>
      </c>
      <c r="J46" s="134">
        <v>0</v>
      </c>
      <c r="K46" s="94">
        <v>0</v>
      </c>
      <c r="L46" s="94">
        <v>0</v>
      </c>
      <c r="M46" s="197">
        <v>0</v>
      </c>
      <c r="N46" s="93">
        <f t="shared" si="11"/>
        <v>6100000</v>
      </c>
      <c r="O46" s="94">
        <v>0</v>
      </c>
      <c r="P46" s="94">
        <v>0</v>
      </c>
      <c r="Q46" s="94">
        <v>6100000</v>
      </c>
      <c r="R46" s="94">
        <v>0</v>
      </c>
      <c r="S46" s="134">
        <v>0</v>
      </c>
      <c r="T46" s="94">
        <v>0</v>
      </c>
      <c r="U46" s="94">
        <v>0</v>
      </c>
      <c r="V46" s="197">
        <v>0</v>
      </c>
      <c r="W46" s="200" t="s">
        <v>1422</v>
      </c>
    </row>
    <row r="47" spans="1:23" ht="28.5" customHeight="1">
      <c r="A47" s="12"/>
      <c r="B47" s="12"/>
      <c r="C47" s="12" t="s">
        <v>623</v>
      </c>
      <c r="D47" s="19" t="s">
        <v>624</v>
      </c>
      <c r="E47" s="93">
        <f t="shared" si="12"/>
        <v>10003644</v>
      </c>
      <c r="F47" s="94">
        <v>0</v>
      </c>
      <c r="G47" s="94">
        <v>0</v>
      </c>
      <c r="H47" s="94">
        <v>10003644</v>
      </c>
      <c r="I47" s="94">
        <v>0</v>
      </c>
      <c r="J47" s="134">
        <v>0</v>
      </c>
      <c r="K47" s="94">
        <v>0</v>
      </c>
      <c r="L47" s="94">
        <v>0</v>
      </c>
      <c r="M47" s="197">
        <v>0</v>
      </c>
      <c r="N47" s="93">
        <f t="shared" si="11"/>
        <v>10003644</v>
      </c>
      <c r="O47" s="94">
        <v>0</v>
      </c>
      <c r="P47" s="94">
        <v>0</v>
      </c>
      <c r="Q47" s="94">
        <v>10003644</v>
      </c>
      <c r="R47" s="94">
        <v>0</v>
      </c>
      <c r="S47" s="134">
        <v>0</v>
      </c>
      <c r="T47" s="94">
        <v>0</v>
      </c>
      <c r="U47" s="94">
        <v>0</v>
      </c>
      <c r="V47" s="197">
        <v>0</v>
      </c>
      <c r="W47" s="200" t="s">
        <v>1423</v>
      </c>
    </row>
    <row r="48" spans="1:23" ht="18">
      <c r="A48" s="12"/>
      <c r="B48" s="12"/>
      <c r="C48" s="12" t="s">
        <v>625</v>
      </c>
      <c r="D48" s="19" t="s">
        <v>626</v>
      </c>
      <c r="E48" s="93">
        <f t="shared" si="12"/>
        <v>6300000</v>
      </c>
      <c r="F48" s="94">
        <v>0</v>
      </c>
      <c r="G48" s="94">
        <v>0</v>
      </c>
      <c r="H48" s="94">
        <v>6300000</v>
      </c>
      <c r="I48" s="94">
        <v>0</v>
      </c>
      <c r="J48" s="134">
        <v>0</v>
      </c>
      <c r="K48" s="94">
        <v>0</v>
      </c>
      <c r="L48" s="94">
        <v>0</v>
      </c>
      <c r="M48" s="197">
        <v>0</v>
      </c>
      <c r="N48" s="93">
        <f t="shared" si="11"/>
        <v>6300000</v>
      </c>
      <c r="O48" s="94">
        <v>0</v>
      </c>
      <c r="P48" s="94">
        <v>0</v>
      </c>
      <c r="Q48" s="94">
        <v>6300000</v>
      </c>
      <c r="R48" s="94">
        <v>0</v>
      </c>
      <c r="S48" s="134">
        <v>0</v>
      </c>
      <c r="T48" s="94">
        <v>0</v>
      </c>
      <c r="U48" s="94">
        <v>0</v>
      </c>
      <c r="V48" s="197">
        <v>0</v>
      </c>
      <c r="W48" s="200" t="s">
        <v>1424</v>
      </c>
    </row>
    <row r="49" spans="1:23" ht="18">
      <c r="A49" s="12"/>
      <c r="B49" s="12"/>
      <c r="C49" s="12" t="s">
        <v>627</v>
      </c>
      <c r="D49" s="19" t="s">
        <v>1185</v>
      </c>
      <c r="E49" s="93">
        <f t="shared" si="12"/>
        <v>5500000</v>
      </c>
      <c r="F49" s="94"/>
      <c r="G49" s="94"/>
      <c r="H49" s="94">
        <v>5500000</v>
      </c>
      <c r="I49" s="94"/>
      <c r="J49" s="134"/>
      <c r="K49" s="94"/>
      <c r="L49" s="94"/>
      <c r="M49" s="197"/>
      <c r="N49" s="93">
        <f t="shared" si="11"/>
        <v>5500000</v>
      </c>
      <c r="O49" s="94"/>
      <c r="P49" s="94"/>
      <c r="Q49" s="94">
        <v>5500000</v>
      </c>
      <c r="R49" s="94"/>
      <c r="S49" s="134"/>
      <c r="T49" s="94"/>
      <c r="U49" s="94"/>
      <c r="V49" s="197"/>
      <c r="W49" s="303">
        <v>57308</v>
      </c>
    </row>
    <row r="50" spans="1:23" ht="30">
      <c r="A50" s="12"/>
      <c r="B50" s="12"/>
      <c r="C50" s="12" t="s">
        <v>629</v>
      </c>
      <c r="D50" s="19" t="s">
        <v>628</v>
      </c>
      <c r="E50" s="93">
        <f t="shared" si="12"/>
        <v>1000000</v>
      </c>
      <c r="F50" s="94">
        <v>0</v>
      </c>
      <c r="G50" s="94">
        <v>0</v>
      </c>
      <c r="H50" s="94">
        <v>1000000</v>
      </c>
      <c r="I50" s="94">
        <v>0</v>
      </c>
      <c r="J50" s="134">
        <v>0</v>
      </c>
      <c r="K50" s="94">
        <v>0</v>
      </c>
      <c r="L50" s="94">
        <v>0</v>
      </c>
      <c r="M50" s="197">
        <v>0</v>
      </c>
      <c r="N50" s="93">
        <f t="shared" si="11"/>
        <v>1000000</v>
      </c>
      <c r="O50" s="94">
        <v>0</v>
      </c>
      <c r="P50" s="94">
        <v>0</v>
      </c>
      <c r="Q50" s="94">
        <v>1000000</v>
      </c>
      <c r="R50" s="94">
        <v>0</v>
      </c>
      <c r="S50" s="134">
        <v>0</v>
      </c>
      <c r="T50" s="94">
        <v>0</v>
      </c>
      <c r="U50" s="94">
        <v>0</v>
      </c>
      <c r="V50" s="197">
        <v>0</v>
      </c>
      <c r="W50" s="200" t="s">
        <v>1425</v>
      </c>
    </row>
    <row r="51" spans="1:23" ht="18">
      <c r="A51" s="12"/>
      <c r="B51" s="12"/>
      <c r="C51" s="12" t="s">
        <v>631</v>
      </c>
      <c r="D51" s="19" t="s">
        <v>891</v>
      </c>
      <c r="E51" s="93">
        <f t="shared" si="12"/>
        <v>90000</v>
      </c>
      <c r="F51" s="94">
        <v>0</v>
      </c>
      <c r="G51" s="94">
        <v>0</v>
      </c>
      <c r="H51" s="94">
        <v>90000</v>
      </c>
      <c r="I51" s="94">
        <v>0</v>
      </c>
      <c r="J51" s="134">
        <v>0</v>
      </c>
      <c r="K51" s="94">
        <v>0</v>
      </c>
      <c r="L51" s="94">
        <v>0</v>
      </c>
      <c r="M51" s="197">
        <v>0</v>
      </c>
      <c r="N51" s="93">
        <f t="shared" si="11"/>
        <v>90000</v>
      </c>
      <c r="O51" s="94">
        <v>0</v>
      </c>
      <c r="P51" s="94">
        <v>0</v>
      </c>
      <c r="Q51" s="94">
        <v>90000</v>
      </c>
      <c r="R51" s="94">
        <v>0</v>
      </c>
      <c r="S51" s="134">
        <v>0</v>
      </c>
      <c r="T51" s="94">
        <v>0</v>
      </c>
      <c r="U51" s="94">
        <v>0</v>
      </c>
      <c r="V51" s="197">
        <v>0</v>
      </c>
      <c r="W51" s="200" t="s">
        <v>1426</v>
      </c>
    </row>
    <row r="52" spans="1:23" ht="18">
      <c r="A52" s="12"/>
      <c r="B52" s="12"/>
      <c r="C52" s="12" t="s">
        <v>890</v>
      </c>
      <c r="D52" s="19" t="s">
        <v>630</v>
      </c>
      <c r="E52" s="93">
        <f t="shared" si="12"/>
        <v>10000</v>
      </c>
      <c r="F52" s="94">
        <v>0</v>
      </c>
      <c r="G52" s="94">
        <v>0</v>
      </c>
      <c r="H52" s="94">
        <v>10000</v>
      </c>
      <c r="I52" s="94">
        <v>0</v>
      </c>
      <c r="J52" s="134">
        <v>0</v>
      </c>
      <c r="K52" s="94">
        <v>0</v>
      </c>
      <c r="L52" s="94">
        <v>0</v>
      </c>
      <c r="M52" s="197">
        <v>0</v>
      </c>
      <c r="N52" s="93">
        <f t="shared" si="11"/>
        <v>10000</v>
      </c>
      <c r="O52" s="94">
        <v>0</v>
      </c>
      <c r="P52" s="94">
        <v>0</v>
      </c>
      <c r="Q52" s="94">
        <v>10000</v>
      </c>
      <c r="R52" s="94">
        <v>0</v>
      </c>
      <c r="S52" s="134">
        <v>0</v>
      </c>
      <c r="T52" s="94">
        <v>0</v>
      </c>
      <c r="U52" s="94">
        <v>0</v>
      </c>
      <c r="V52" s="197">
        <v>0</v>
      </c>
      <c r="W52" s="200" t="s">
        <v>1427</v>
      </c>
    </row>
    <row r="53" spans="1:23" ht="18">
      <c r="A53" s="12"/>
      <c r="B53" s="12"/>
      <c r="C53" s="12" t="s">
        <v>1118</v>
      </c>
      <c r="D53" s="19" t="s">
        <v>632</v>
      </c>
      <c r="E53" s="93">
        <f t="shared" si="12"/>
        <v>50000</v>
      </c>
      <c r="F53" s="94">
        <v>0</v>
      </c>
      <c r="G53" s="94">
        <v>0</v>
      </c>
      <c r="H53" s="94">
        <v>50000</v>
      </c>
      <c r="I53" s="94">
        <v>0</v>
      </c>
      <c r="J53" s="134">
        <v>0</v>
      </c>
      <c r="K53" s="94">
        <v>0</v>
      </c>
      <c r="L53" s="94">
        <v>0</v>
      </c>
      <c r="M53" s="197">
        <v>0</v>
      </c>
      <c r="N53" s="93">
        <f t="shared" si="11"/>
        <v>50000</v>
      </c>
      <c r="O53" s="94">
        <v>0</v>
      </c>
      <c r="P53" s="94">
        <v>0</v>
      </c>
      <c r="Q53" s="94">
        <v>50000</v>
      </c>
      <c r="R53" s="94">
        <v>0</v>
      </c>
      <c r="S53" s="134">
        <v>0</v>
      </c>
      <c r="T53" s="94">
        <v>0</v>
      </c>
      <c r="U53" s="94">
        <v>0</v>
      </c>
      <c r="V53" s="197">
        <v>0</v>
      </c>
      <c r="W53" s="200" t="s">
        <v>1428</v>
      </c>
    </row>
    <row r="54" spans="1:23" ht="18">
      <c r="A54" s="12" t="s">
        <v>119</v>
      </c>
      <c r="B54" s="12"/>
      <c r="C54" s="12"/>
      <c r="D54" s="82" t="s">
        <v>44</v>
      </c>
      <c r="E54" s="24">
        <f t="shared" si="12"/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7">
        <v>0</v>
      </c>
      <c r="N54" s="24">
        <f t="shared" si="11"/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7">
        <v>0</v>
      </c>
      <c r="W54" s="207"/>
    </row>
    <row r="55" spans="1:23" ht="27.75" customHeight="1">
      <c r="A55" s="435" t="s">
        <v>315</v>
      </c>
      <c r="B55" s="436"/>
      <c r="C55" s="436"/>
      <c r="D55" s="437"/>
      <c r="E55" s="24">
        <f t="shared" si="12"/>
        <v>3228931132</v>
      </c>
      <c r="F55" s="120">
        <f aca="true" t="shared" si="15" ref="F55:M55">F11+F26+F54</f>
        <v>0</v>
      </c>
      <c r="G55" s="120">
        <f t="shared" si="15"/>
        <v>0</v>
      </c>
      <c r="H55" s="120">
        <f t="shared" si="15"/>
        <v>29053644</v>
      </c>
      <c r="I55" s="120">
        <f t="shared" si="15"/>
        <v>0</v>
      </c>
      <c r="J55" s="120">
        <f t="shared" si="15"/>
        <v>3021087488</v>
      </c>
      <c r="K55" s="120">
        <f t="shared" si="15"/>
        <v>0</v>
      </c>
      <c r="L55" s="120">
        <f t="shared" si="15"/>
        <v>0</v>
      </c>
      <c r="M55" s="127">
        <f t="shared" si="15"/>
        <v>178790000</v>
      </c>
      <c r="N55" s="24">
        <f t="shared" si="11"/>
        <v>3253931132</v>
      </c>
      <c r="O55" s="120">
        <f aca="true" t="shared" si="16" ref="O55:V55">O11+O26+O54</f>
        <v>0</v>
      </c>
      <c r="P55" s="120">
        <f t="shared" si="16"/>
        <v>0</v>
      </c>
      <c r="Q55" s="120">
        <f t="shared" si="16"/>
        <v>29053644</v>
      </c>
      <c r="R55" s="120">
        <f t="shared" si="16"/>
        <v>0</v>
      </c>
      <c r="S55" s="120">
        <f t="shared" si="16"/>
        <v>3026087488</v>
      </c>
      <c r="T55" s="120">
        <f t="shared" si="16"/>
        <v>0</v>
      </c>
      <c r="U55" s="120">
        <f t="shared" si="16"/>
        <v>0</v>
      </c>
      <c r="V55" s="127">
        <f t="shared" si="16"/>
        <v>198790000</v>
      </c>
      <c r="W55" s="207"/>
    </row>
    <row r="57" ht="12.75" hidden="1"/>
    <row r="58" spans="4:23" s="128" customFormat="1" ht="12.75">
      <c r="D58" s="155"/>
      <c r="W58" s="251"/>
    </row>
    <row r="59" spans="4:23" s="128" customFormat="1" ht="12.75">
      <c r="D59" s="155"/>
      <c r="W59" s="251"/>
    </row>
    <row r="60" s="128" customFormat="1" ht="12.75">
      <c r="W60" s="251"/>
    </row>
    <row r="61" s="128" customFormat="1" ht="12.75">
      <c r="W61" s="251"/>
    </row>
    <row r="62" s="128" customFormat="1" ht="12.75">
      <c r="W62" s="251"/>
    </row>
  </sheetData>
  <sheetProtection selectLockedCells="1" selectUnlockedCells="1"/>
  <mergeCells count="19">
    <mergeCell ref="A4:W4"/>
    <mergeCell ref="A5:W5"/>
    <mergeCell ref="A3:W3"/>
    <mergeCell ref="A55:D55"/>
    <mergeCell ref="B8:B10"/>
    <mergeCell ref="F8:M8"/>
    <mergeCell ref="C8:C10"/>
    <mergeCell ref="D8:D10"/>
    <mergeCell ref="A8:A10"/>
    <mergeCell ref="A1:W1"/>
    <mergeCell ref="W8:W11"/>
    <mergeCell ref="E8:E10"/>
    <mergeCell ref="F9:J9"/>
    <mergeCell ref="K9:M9"/>
    <mergeCell ref="N8:N10"/>
    <mergeCell ref="O8:V8"/>
    <mergeCell ref="O9:S9"/>
    <mergeCell ref="T9:V9"/>
    <mergeCell ref="A2:W2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4"/>
  <sheetViews>
    <sheetView view="pageBreakPreview" zoomScale="70" zoomScaleNormal="71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V1"/>
    </sheetView>
  </sheetViews>
  <sheetFormatPr defaultColWidth="9.140625" defaultRowHeight="12.75"/>
  <cols>
    <col min="1" max="1" width="7.57421875" style="0" customWidth="1"/>
    <col min="2" max="2" width="11.8515625" style="0" customWidth="1"/>
    <col min="3" max="3" width="48.8515625" style="0" customWidth="1"/>
    <col min="4" max="4" width="19.8515625" style="0" customWidth="1"/>
    <col min="5" max="6" width="14.57421875" style="0" customWidth="1"/>
    <col min="7" max="7" width="18.421875" style="0" customWidth="1"/>
    <col min="8" max="8" width="14.57421875" style="0" customWidth="1"/>
    <col min="9" max="9" width="19.57421875" style="0" customWidth="1"/>
    <col min="10" max="10" width="19.140625" style="0" customWidth="1"/>
    <col min="11" max="12" width="14.57421875" style="0" customWidth="1"/>
    <col min="13" max="13" width="19.8515625" style="0" customWidth="1"/>
    <col min="14" max="15" width="14.57421875" style="0" customWidth="1"/>
    <col min="16" max="16" width="18.421875" style="0" customWidth="1"/>
    <col min="17" max="17" width="14.57421875" style="0" customWidth="1"/>
    <col min="18" max="18" width="19.57421875" style="0" customWidth="1"/>
    <col min="19" max="19" width="19.140625" style="0" customWidth="1"/>
    <col min="20" max="21" width="14.57421875" style="0" customWidth="1"/>
    <col min="22" max="22" width="15.7109375" style="243" customWidth="1"/>
  </cols>
  <sheetData>
    <row r="1" spans="1:22" ht="27.75" customHeight="1">
      <c r="A1" s="347" t="s">
        <v>1566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22.5" customHeight="1">
      <c r="A2" s="358" t="s">
        <v>1541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22" ht="18" customHeight="1">
      <c r="A3" s="423" t="s">
        <v>633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ht="18">
      <c r="A4" s="424" t="s">
        <v>634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</row>
    <row r="5" spans="1:2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3"/>
      <c r="N5" s="3"/>
      <c r="O5" s="3"/>
      <c r="P5" s="3"/>
      <c r="Q5" s="3"/>
      <c r="R5" s="3"/>
      <c r="S5" s="3"/>
      <c r="T5" s="3"/>
      <c r="V5" s="314" t="s">
        <v>1</v>
      </c>
    </row>
    <row r="6" spans="1:23" ht="15" customHeight="1">
      <c r="A6" s="265" t="s">
        <v>2</v>
      </c>
      <c r="B6" s="265" t="s">
        <v>3</v>
      </c>
      <c r="C6" s="265" t="s">
        <v>4</v>
      </c>
      <c r="D6" s="265" t="s">
        <v>5</v>
      </c>
      <c r="E6" s="265" t="s">
        <v>6</v>
      </c>
      <c r="F6" s="265" t="s">
        <v>7</v>
      </c>
      <c r="G6" s="265" t="s">
        <v>8</v>
      </c>
      <c r="H6" s="265" t="s">
        <v>9</v>
      </c>
      <c r="I6" s="265" t="s">
        <v>10</v>
      </c>
      <c r="J6" s="266" t="s">
        <v>11</v>
      </c>
      <c r="K6" s="265" t="s">
        <v>12</v>
      </c>
      <c r="L6" s="267" t="s">
        <v>13</v>
      </c>
      <c r="M6" s="295" t="s">
        <v>14</v>
      </c>
      <c r="N6" s="265" t="s">
        <v>15</v>
      </c>
      <c r="O6" s="265" t="s">
        <v>16</v>
      </c>
      <c r="P6" s="265" t="s">
        <v>17</v>
      </c>
      <c r="Q6" s="265" t="s">
        <v>18</v>
      </c>
      <c r="R6" s="265" t="s">
        <v>19</v>
      </c>
      <c r="S6" s="266" t="s">
        <v>20</v>
      </c>
      <c r="T6" s="265" t="s">
        <v>21</v>
      </c>
      <c r="U6" s="267" t="s">
        <v>22</v>
      </c>
      <c r="V6" s="268" t="s">
        <v>181</v>
      </c>
      <c r="W6" s="244"/>
    </row>
    <row r="7" spans="1:22" ht="12.75" customHeight="1">
      <c r="A7" s="354" t="s">
        <v>24</v>
      </c>
      <c r="B7" s="354" t="s">
        <v>185</v>
      </c>
      <c r="C7" s="355" t="s">
        <v>25</v>
      </c>
      <c r="D7" s="355" t="s">
        <v>1099</v>
      </c>
      <c r="E7" s="403" t="s">
        <v>26</v>
      </c>
      <c r="F7" s="403"/>
      <c r="G7" s="403"/>
      <c r="H7" s="403"/>
      <c r="I7" s="403"/>
      <c r="J7" s="403"/>
      <c r="K7" s="403"/>
      <c r="L7" s="404"/>
      <c r="M7" s="355" t="s">
        <v>1526</v>
      </c>
      <c r="N7" s="403" t="s">
        <v>1525</v>
      </c>
      <c r="O7" s="403"/>
      <c r="P7" s="403"/>
      <c r="Q7" s="403"/>
      <c r="R7" s="403"/>
      <c r="S7" s="403"/>
      <c r="T7" s="403"/>
      <c r="U7" s="404"/>
      <c r="V7" s="401" t="s">
        <v>1234</v>
      </c>
    </row>
    <row r="8" spans="1:22" ht="12.75" customHeight="1">
      <c r="A8" s="354"/>
      <c r="B8" s="354"/>
      <c r="C8" s="355"/>
      <c r="D8" s="355"/>
      <c r="E8" s="351" t="s">
        <v>27</v>
      </c>
      <c r="F8" s="351"/>
      <c r="G8" s="351"/>
      <c r="H8" s="351"/>
      <c r="I8" s="351"/>
      <c r="J8" s="351" t="s">
        <v>28</v>
      </c>
      <c r="K8" s="351"/>
      <c r="L8" s="398"/>
      <c r="M8" s="355"/>
      <c r="N8" s="351" t="s">
        <v>27</v>
      </c>
      <c r="O8" s="351"/>
      <c r="P8" s="351"/>
      <c r="Q8" s="351"/>
      <c r="R8" s="351"/>
      <c r="S8" s="351" t="s">
        <v>28</v>
      </c>
      <c r="T8" s="351"/>
      <c r="U8" s="398"/>
      <c r="V8" s="401"/>
    </row>
    <row r="9" spans="1:22" ht="97.5" customHeight="1">
      <c r="A9" s="354"/>
      <c r="B9" s="354"/>
      <c r="C9" s="355"/>
      <c r="D9" s="35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196" t="s">
        <v>36</v>
      </c>
      <c r="M9" s="35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196" t="s">
        <v>36</v>
      </c>
      <c r="V9" s="401"/>
    </row>
    <row r="10" spans="1:22" ht="18">
      <c r="A10" s="12" t="s">
        <v>142</v>
      </c>
      <c r="B10" s="12"/>
      <c r="C10" s="82" t="s">
        <v>40</v>
      </c>
      <c r="D10" s="24">
        <f>SUM(E10:L10)</f>
        <v>13565607062</v>
      </c>
      <c r="E10" s="120">
        <f>SUM(E11:E34)</f>
        <v>27089247</v>
      </c>
      <c r="F10" s="120">
        <f aca="true" t="shared" si="0" ref="F10:L10">SUM(F11:F34)</f>
        <v>6834941</v>
      </c>
      <c r="G10" s="120">
        <f t="shared" si="0"/>
        <v>1721129080</v>
      </c>
      <c r="H10" s="120">
        <f t="shared" si="0"/>
        <v>0</v>
      </c>
      <c r="I10" s="120">
        <f t="shared" si="0"/>
        <v>869777300</v>
      </c>
      <c r="J10" s="120">
        <f t="shared" si="0"/>
        <v>10940776494</v>
      </c>
      <c r="K10" s="120">
        <f t="shared" si="0"/>
        <v>0</v>
      </c>
      <c r="L10" s="127">
        <f t="shared" si="0"/>
        <v>0</v>
      </c>
      <c r="M10" s="24">
        <f>SUM(N10:U10)</f>
        <v>13565607062</v>
      </c>
      <c r="N10" s="120">
        <f>SUM(N11:N34)</f>
        <v>27089247</v>
      </c>
      <c r="O10" s="120">
        <f aca="true" t="shared" si="1" ref="O10:U10">SUM(O11:O34)</f>
        <v>6834941</v>
      </c>
      <c r="P10" s="120">
        <f t="shared" si="1"/>
        <v>1721129080</v>
      </c>
      <c r="Q10" s="120">
        <f t="shared" si="1"/>
        <v>0</v>
      </c>
      <c r="R10" s="120">
        <f t="shared" si="1"/>
        <v>869777300</v>
      </c>
      <c r="S10" s="120">
        <f t="shared" si="1"/>
        <v>10940776494</v>
      </c>
      <c r="T10" s="120">
        <f t="shared" si="1"/>
        <v>0</v>
      </c>
      <c r="U10" s="127">
        <f t="shared" si="1"/>
        <v>0</v>
      </c>
      <c r="V10" s="401"/>
    </row>
    <row r="11" spans="1:22" ht="18">
      <c r="A11" s="12"/>
      <c r="B11" s="12" t="s">
        <v>635</v>
      </c>
      <c r="C11" s="130" t="s">
        <v>1208</v>
      </c>
      <c r="D11" s="93">
        <f aca="true" t="shared" si="2" ref="D11:D39">SUM(E11:L11)</f>
        <v>35000000</v>
      </c>
      <c r="E11" s="94">
        <v>0</v>
      </c>
      <c r="F11" s="94">
        <v>0</v>
      </c>
      <c r="G11" s="94">
        <v>35000000</v>
      </c>
      <c r="H11" s="94">
        <v>0</v>
      </c>
      <c r="I11" s="94">
        <v>0</v>
      </c>
      <c r="J11" s="94">
        <v>0</v>
      </c>
      <c r="K11" s="94">
        <v>0</v>
      </c>
      <c r="L11" s="197">
        <v>0</v>
      </c>
      <c r="M11" s="93">
        <f aca="true" t="shared" si="3" ref="M11:M36">SUM(N11:U11)</f>
        <v>35000000</v>
      </c>
      <c r="N11" s="94">
        <v>0</v>
      </c>
      <c r="O11" s="94">
        <v>0</v>
      </c>
      <c r="P11" s="94">
        <v>35000000</v>
      </c>
      <c r="Q11" s="94">
        <v>0</v>
      </c>
      <c r="R11" s="94">
        <v>0</v>
      </c>
      <c r="S11" s="94">
        <v>0</v>
      </c>
      <c r="T11" s="94">
        <v>0</v>
      </c>
      <c r="U11" s="197">
        <v>0</v>
      </c>
      <c r="V11" s="260" t="s">
        <v>1429</v>
      </c>
    </row>
    <row r="12" spans="1:22" ht="18">
      <c r="A12" s="12"/>
      <c r="B12" s="12" t="s">
        <v>636</v>
      </c>
      <c r="C12" s="130" t="s">
        <v>637</v>
      </c>
      <c r="D12" s="93">
        <f t="shared" si="2"/>
        <v>35000000</v>
      </c>
      <c r="E12" s="94">
        <v>0</v>
      </c>
      <c r="F12" s="94">
        <v>0</v>
      </c>
      <c r="G12" s="94">
        <v>35000000</v>
      </c>
      <c r="H12" s="94">
        <v>0</v>
      </c>
      <c r="I12" s="94">
        <v>0</v>
      </c>
      <c r="J12" s="94">
        <v>0</v>
      </c>
      <c r="K12" s="94">
        <v>0</v>
      </c>
      <c r="L12" s="197">
        <v>0</v>
      </c>
      <c r="M12" s="93">
        <f t="shared" si="3"/>
        <v>35000000</v>
      </c>
      <c r="N12" s="94">
        <v>0</v>
      </c>
      <c r="O12" s="94">
        <v>0</v>
      </c>
      <c r="P12" s="94">
        <v>35000000</v>
      </c>
      <c r="Q12" s="94">
        <v>0</v>
      </c>
      <c r="R12" s="94">
        <v>0</v>
      </c>
      <c r="S12" s="94">
        <v>0</v>
      </c>
      <c r="T12" s="94">
        <v>0</v>
      </c>
      <c r="U12" s="197">
        <v>0</v>
      </c>
      <c r="V12" s="260" t="s">
        <v>1430</v>
      </c>
    </row>
    <row r="13" spans="1:22" ht="18">
      <c r="A13" s="12"/>
      <c r="B13" s="12" t="s">
        <v>638</v>
      </c>
      <c r="C13" s="130" t="s">
        <v>639</v>
      </c>
      <c r="D13" s="93">
        <f t="shared" si="2"/>
        <v>400000000</v>
      </c>
      <c r="E13" s="94">
        <v>0</v>
      </c>
      <c r="F13" s="94">
        <v>0</v>
      </c>
      <c r="G13" s="94">
        <v>400000000</v>
      </c>
      <c r="H13" s="94">
        <v>0</v>
      </c>
      <c r="I13" s="94">
        <v>0</v>
      </c>
      <c r="J13" s="94">
        <v>0</v>
      </c>
      <c r="K13" s="94">
        <v>0</v>
      </c>
      <c r="L13" s="197">
        <v>0</v>
      </c>
      <c r="M13" s="93">
        <f t="shared" si="3"/>
        <v>400000000</v>
      </c>
      <c r="N13" s="94">
        <v>0</v>
      </c>
      <c r="O13" s="94">
        <v>0</v>
      </c>
      <c r="P13" s="94">
        <v>400000000</v>
      </c>
      <c r="Q13" s="94">
        <v>0</v>
      </c>
      <c r="R13" s="94">
        <v>0</v>
      </c>
      <c r="S13" s="94">
        <v>0</v>
      </c>
      <c r="T13" s="94">
        <v>0</v>
      </c>
      <c r="U13" s="197">
        <v>0</v>
      </c>
      <c r="V13" s="260" t="s">
        <v>1431</v>
      </c>
    </row>
    <row r="14" spans="1:22" ht="18">
      <c r="A14" s="12"/>
      <c r="B14" s="12" t="s">
        <v>640</v>
      </c>
      <c r="C14" s="19" t="s">
        <v>633</v>
      </c>
      <c r="D14" s="93">
        <f t="shared" si="2"/>
        <v>33000000</v>
      </c>
      <c r="E14" s="94">
        <v>2000000</v>
      </c>
      <c r="F14" s="94">
        <v>1000000</v>
      </c>
      <c r="G14" s="94">
        <v>30000000</v>
      </c>
      <c r="H14" s="94">
        <v>0</v>
      </c>
      <c r="I14" s="94">
        <v>0</v>
      </c>
      <c r="J14" s="94">
        <v>0</v>
      </c>
      <c r="K14" s="94">
        <v>0</v>
      </c>
      <c r="L14" s="197">
        <v>0</v>
      </c>
      <c r="M14" s="93">
        <f t="shared" si="3"/>
        <v>33000000</v>
      </c>
      <c r="N14" s="94">
        <v>2000000</v>
      </c>
      <c r="O14" s="94">
        <v>1000000</v>
      </c>
      <c r="P14" s="94">
        <v>30000000</v>
      </c>
      <c r="Q14" s="94">
        <v>0</v>
      </c>
      <c r="R14" s="94">
        <v>0</v>
      </c>
      <c r="S14" s="94">
        <v>0</v>
      </c>
      <c r="T14" s="94">
        <v>0</v>
      </c>
      <c r="U14" s="197">
        <v>0</v>
      </c>
      <c r="V14" s="260" t="s">
        <v>1432</v>
      </c>
    </row>
    <row r="15" spans="1:22" ht="18">
      <c r="A15" s="12"/>
      <c r="B15" s="12" t="s">
        <v>641</v>
      </c>
      <c r="C15" s="19" t="s">
        <v>642</v>
      </c>
      <c r="D15" s="93">
        <f t="shared" si="2"/>
        <v>32542639</v>
      </c>
      <c r="E15" s="94">
        <v>10621200</v>
      </c>
      <c r="F15" s="94">
        <v>3197439</v>
      </c>
      <c r="G15" s="94">
        <v>18724000</v>
      </c>
      <c r="H15" s="94">
        <v>0</v>
      </c>
      <c r="I15" s="94">
        <v>0</v>
      </c>
      <c r="J15" s="94">
        <v>0</v>
      </c>
      <c r="K15" s="94">
        <v>0</v>
      </c>
      <c r="L15" s="197">
        <v>0</v>
      </c>
      <c r="M15" s="93">
        <f t="shared" si="3"/>
        <v>32542639</v>
      </c>
      <c r="N15" s="94">
        <v>10621200</v>
      </c>
      <c r="O15" s="94">
        <v>3197439</v>
      </c>
      <c r="P15" s="94">
        <v>18724000</v>
      </c>
      <c r="Q15" s="94">
        <v>0</v>
      </c>
      <c r="R15" s="94">
        <v>0</v>
      </c>
      <c r="S15" s="94">
        <v>0</v>
      </c>
      <c r="T15" s="94">
        <v>0</v>
      </c>
      <c r="U15" s="197">
        <v>0</v>
      </c>
      <c r="V15" s="260" t="s">
        <v>1433</v>
      </c>
    </row>
    <row r="16" spans="1:22" ht="30">
      <c r="A16" s="12"/>
      <c r="B16" s="12" t="s">
        <v>643</v>
      </c>
      <c r="C16" s="130" t="s">
        <v>1125</v>
      </c>
      <c r="D16" s="93">
        <f t="shared" si="2"/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97">
        <v>0</v>
      </c>
      <c r="M16" s="93">
        <f t="shared" si="3"/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197">
        <v>0</v>
      </c>
      <c r="V16" s="260" t="s">
        <v>1434</v>
      </c>
    </row>
    <row r="17" spans="1:22" ht="45">
      <c r="A17" s="12"/>
      <c r="B17" s="12" t="s">
        <v>644</v>
      </c>
      <c r="C17" s="130" t="s">
        <v>1126</v>
      </c>
      <c r="D17" s="93">
        <f t="shared" si="2"/>
        <v>150000000</v>
      </c>
      <c r="E17" s="94">
        <v>0</v>
      </c>
      <c r="F17" s="94">
        <v>0</v>
      </c>
      <c r="G17" s="94">
        <v>0</v>
      </c>
      <c r="H17" s="94">
        <v>0</v>
      </c>
      <c r="I17" s="94">
        <v>150000000</v>
      </c>
      <c r="J17" s="94">
        <v>0</v>
      </c>
      <c r="K17" s="94">
        <v>0</v>
      </c>
      <c r="L17" s="197">
        <v>0</v>
      </c>
      <c r="M17" s="93">
        <f t="shared" si="3"/>
        <v>150000000</v>
      </c>
      <c r="N17" s="94">
        <v>0</v>
      </c>
      <c r="O17" s="94">
        <v>0</v>
      </c>
      <c r="P17" s="94">
        <v>0</v>
      </c>
      <c r="Q17" s="94">
        <v>0</v>
      </c>
      <c r="R17" s="94">
        <v>150000000</v>
      </c>
      <c r="S17" s="94">
        <v>0</v>
      </c>
      <c r="T17" s="94">
        <v>0</v>
      </c>
      <c r="U17" s="197">
        <v>0</v>
      </c>
      <c r="V17" s="260" t="s">
        <v>1435</v>
      </c>
    </row>
    <row r="18" spans="1:22" ht="27.75" customHeight="1">
      <c r="A18" s="12"/>
      <c r="B18" s="12" t="s">
        <v>645</v>
      </c>
      <c r="C18" s="130" t="s">
        <v>1127</v>
      </c>
      <c r="D18" s="93">
        <f t="shared" si="2"/>
        <v>450000000</v>
      </c>
      <c r="E18" s="94">
        <v>0</v>
      </c>
      <c r="F18" s="94">
        <v>0</v>
      </c>
      <c r="G18" s="94">
        <v>0</v>
      </c>
      <c r="H18" s="94">
        <v>0</v>
      </c>
      <c r="I18" s="94">
        <v>450000000</v>
      </c>
      <c r="J18" s="94">
        <v>0</v>
      </c>
      <c r="K18" s="94">
        <v>0</v>
      </c>
      <c r="L18" s="197">
        <v>0</v>
      </c>
      <c r="M18" s="93">
        <f t="shared" si="3"/>
        <v>450000000</v>
      </c>
      <c r="N18" s="94">
        <v>0</v>
      </c>
      <c r="O18" s="94">
        <v>0</v>
      </c>
      <c r="P18" s="94">
        <v>0</v>
      </c>
      <c r="Q18" s="94">
        <v>0</v>
      </c>
      <c r="R18" s="94">
        <v>450000000</v>
      </c>
      <c r="S18" s="94">
        <v>0</v>
      </c>
      <c r="T18" s="94">
        <v>0</v>
      </c>
      <c r="U18" s="197">
        <v>0</v>
      </c>
      <c r="V18" s="260" t="s">
        <v>1436</v>
      </c>
    </row>
    <row r="19" spans="1:22" ht="18">
      <c r="A19" s="12"/>
      <c r="B19" s="12" t="s">
        <v>646</v>
      </c>
      <c r="C19" s="130" t="s">
        <v>647</v>
      </c>
      <c r="D19" s="93">
        <f t="shared" si="2"/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197">
        <v>0</v>
      </c>
      <c r="M19" s="93">
        <f t="shared" si="3"/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197">
        <v>0</v>
      </c>
      <c r="V19" s="260" t="s">
        <v>1437</v>
      </c>
    </row>
    <row r="20" spans="1:22" ht="18">
      <c r="A20" s="12"/>
      <c r="B20" s="12" t="s">
        <v>648</v>
      </c>
      <c r="C20" s="130" t="s">
        <v>649</v>
      </c>
      <c r="D20" s="93">
        <f t="shared" si="2"/>
        <v>19780248</v>
      </c>
      <c r="E20" s="94">
        <f>22468047-8000000</f>
        <v>14468047</v>
      </c>
      <c r="F20" s="94">
        <v>2637502</v>
      </c>
      <c r="G20" s="94">
        <v>1674699</v>
      </c>
      <c r="H20" s="94">
        <v>0</v>
      </c>
      <c r="I20" s="94">
        <v>1000000</v>
      </c>
      <c r="J20" s="94">
        <v>0</v>
      </c>
      <c r="K20" s="94">
        <v>0</v>
      </c>
      <c r="L20" s="197">
        <v>0</v>
      </c>
      <c r="M20" s="93">
        <f t="shared" si="3"/>
        <v>19780248</v>
      </c>
      <c r="N20" s="94">
        <f>22468047-8000000</f>
        <v>14468047</v>
      </c>
      <c r="O20" s="94">
        <v>2637502</v>
      </c>
      <c r="P20" s="94">
        <v>1674699</v>
      </c>
      <c r="Q20" s="94">
        <v>0</v>
      </c>
      <c r="R20" s="94">
        <v>1000000</v>
      </c>
      <c r="S20" s="94">
        <v>0</v>
      </c>
      <c r="T20" s="94">
        <v>0</v>
      </c>
      <c r="U20" s="197">
        <v>0</v>
      </c>
      <c r="V20" s="260" t="s">
        <v>1438</v>
      </c>
    </row>
    <row r="21" spans="1:22" ht="18">
      <c r="A21" s="12"/>
      <c r="B21" s="12" t="s">
        <v>650</v>
      </c>
      <c r="C21" s="130" t="s">
        <v>651</v>
      </c>
      <c r="D21" s="93">
        <f t="shared" si="2"/>
        <v>40000000</v>
      </c>
      <c r="E21" s="94">
        <v>0</v>
      </c>
      <c r="F21" s="94">
        <v>0</v>
      </c>
      <c r="G21" s="94">
        <v>40000000</v>
      </c>
      <c r="H21" s="94">
        <v>0</v>
      </c>
      <c r="I21" s="94">
        <v>0</v>
      </c>
      <c r="J21" s="94">
        <v>0</v>
      </c>
      <c r="K21" s="94">
        <v>0</v>
      </c>
      <c r="L21" s="197">
        <v>0</v>
      </c>
      <c r="M21" s="93">
        <f t="shared" si="3"/>
        <v>40000000</v>
      </c>
      <c r="N21" s="94">
        <v>0</v>
      </c>
      <c r="O21" s="94">
        <v>0</v>
      </c>
      <c r="P21" s="94">
        <v>40000000</v>
      </c>
      <c r="Q21" s="94">
        <v>0</v>
      </c>
      <c r="R21" s="94">
        <v>0</v>
      </c>
      <c r="S21" s="94">
        <v>0</v>
      </c>
      <c r="T21" s="94">
        <v>0</v>
      </c>
      <c r="U21" s="197">
        <v>0</v>
      </c>
      <c r="V21" s="260" t="s">
        <v>1439</v>
      </c>
    </row>
    <row r="22" spans="1:22" ht="18">
      <c r="A22" s="12"/>
      <c r="B22" s="12" t="s">
        <v>652</v>
      </c>
      <c r="C22" s="130" t="s">
        <v>653</v>
      </c>
      <c r="D22" s="93">
        <f t="shared" si="2"/>
        <v>35000000</v>
      </c>
      <c r="E22" s="94">
        <v>0</v>
      </c>
      <c r="F22" s="94">
        <v>0</v>
      </c>
      <c r="G22" s="94">
        <v>35000000</v>
      </c>
      <c r="H22" s="94">
        <v>0</v>
      </c>
      <c r="I22" s="94">
        <v>0</v>
      </c>
      <c r="J22" s="94">
        <v>0</v>
      </c>
      <c r="K22" s="94">
        <v>0</v>
      </c>
      <c r="L22" s="197">
        <v>0</v>
      </c>
      <c r="M22" s="93">
        <f t="shared" si="3"/>
        <v>35000000</v>
      </c>
      <c r="N22" s="94">
        <v>0</v>
      </c>
      <c r="O22" s="94">
        <v>0</v>
      </c>
      <c r="P22" s="94">
        <v>35000000</v>
      </c>
      <c r="Q22" s="94">
        <v>0</v>
      </c>
      <c r="R22" s="94">
        <v>0</v>
      </c>
      <c r="S22" s="94">
        <v>0</v>
      </c>
      <c r="T22" s="94">
        <v>0</v>
      </c>
      <c r="U22" s="197">
        <v>0</v>
      </c>
      <c r="V22" s="260" t="s">
        <v>1440</v>
      </c>
    </row>
    <row r="23" spans="1:22" ht="30">
      <c r="A23" s="12"/>
      <c r="B23" s="12" t="s">
        <v>654</v>
      </c>
      <c r="C23" s="130" t="s">
        <v>655</v>
      </c>
      <c r="D23" s="93">
        <f t="shared" si="2"/>
        <v>17736720</v>
      </c>
      <c r="E23" s="94">
        <v>0</v>
      </c>
      <c r="F23" s="94">
        <v>0</v>
      </c>
      <c r="G23" s="94">
        <v>17736720</v>
      </c>
      <c r="H23" s="94">
        <v>0</v>
      </c>
      <c r="I23" s="94">
        <v>0</v>
      </c>
      <c r="J23" s="94">
        <v>0</v>
      </c>
      <c r="K23" s="94">
        <v>0</v>
      </c>
      <c r="L23" s="197">
        <v>0</v>
      </c>
      <c r="M23" s="93">
        <f t="shared" si="3"/>
        <v>17736720</v>
      </c>
      <c r="N23" s="94">
        <v>0</v>
      </c>
      <c r="O23" s="94">
        <v>0</v>
      </c>
      <c r="P23" s="94">
        <v>17736720</v>
      </c>
      <c r="Q23" s="94">
        <v>0</v>
      </c>
      <c r="R23" s="94">
        <v>0</v>
      </c>
      <c r="S23" s="94">
        <v>0</v>
      </c>
      <c r="T23" s="94">
        <v>0</v>
      </c>
      <c r="U23" s="197">
        <v>0</v>
      </c>
      <c r="V23" s="260" t="s">
        <v>1441</v>
      </c>
    </row>
    <row r="24" spans="1:22" ht="34.5" customHeight="1">
      <c r="A24" s="12"/>
      <c r="B24" s="12" t="s">
        <v>656</v>
      </c>
      <c r="C24" s="130" t="s">
        <v>949</v>
      </c>
      <c r="D24" s="93">
        <f t="shared" si="2"/>
        <v>500000</v>
      </c>
      <c r="E24" s="94">
        <v>0</v>
      </c>
      <c r="F24" s="94">
        <v>0</v>
      </c>
      <c r="G24" s="94">
        <v>500000</v>
      </c>
      <c r="H24" s="94">
        <v>0</v>
      </c>
      <c r="I24" s="94">
        <v>0</v>
      </c>
      <c r="J24" s="94">
        <v>0</v>
      </c>
      <c r="K24" s="94">
        <v>0</v>
      </c>
      <c r="L24" s="197">
        <v>0</v>
      </c>
      <c r="M24" s="93">
        <f t="shared" si="3"/>
        <v>500000</v>
      </c>
      <c r="N24" s="94">
        <v>0</v>
      </c>
      <c r="O24" s="94">
        <v>0</v>
      </c>
      <c r="P24" s="94">
        <v>500000</v>
      </c>
      <c r="Q24" s="94">
        <v>0</v>
      </c>
      <c r="R24" s="94">
        <v>0</v>
      </c>
      <c r="S24" s="94">
        <v>0</v>
      </c>
      <c r="T24" s="94">
        <v>0</v>
      </c>
      <c r="U24" s="197">
        <v>0</v>
      </c>
      <c r="V24" s="260" t="s">
        <v>1442</v>
      </c>
    </row>
    <row r="25" spans="1:22" ht="30">
      <c r="A25" s="12"/>
      <c r="B25" s="12" t="s">
        <v>657</v>
      </c>
      <c r="C25" s="130" t="s">
        <v>659</v>
      </c>
      <c r="D25" s="93">
        <f t="shared" si="2"/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197">
        <v>0</v>
      </c>
      <c r="M25" s="93">
        <f t="shared" si="3"/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197">
        <v>0</v>
      </c>
      <c r="V25" s="260" t="s">
        <v>1444</v>
      </c>
    </row>
    <row r="26" spans="1:22" ht="18">
      <c r="A26" s="12"/>
      <c r="B26" s="12" t="s">
        <v>658</v>
      </c>
      <c r="C26" s="130" t="s">
        <v>661</v>
      </c>
      <c r="D26" s="93">
        <f t="shared" si="2"/>
        <v>1000950</v>
      </c>
      <c r="E26" s="94">
        <v>0</v>
      </c>
      <c r="F26" s="94">
        <v>0</v>
      </c>
      <c r="G26" s="94">
        <v>1000950</v>
      </c>
      <c r="H26" s="94">
        <v>0</v>
      </c>
      <c r="I26" s="94">
        <v>0</v>
      </c>
      <c r="J26" s="94">
        <v>0</v>
      </c>
      <c r="K26" s="94">
        <v>0</v>
      </c>
      <c r="L26" s="197">
        <v>0</v>
      </c>
      <c r="M26" s="93">
        <f t="shared" si="3"/>
        <v>1000950</v>
      </c>
      <c r="N26" s="94">
        <v>0</v>
      </c>
      <c r="O26" s="94">
        <v>0</v>
      </c>
      <c r="P26" s="94">
        <v>1000950</v>
      </c>
      <c r="Q26" s="94">
        <v>0</v>
      </c>
      <c r="R26" s="94">
        <v>0</v>
      </c>
      <c r="S26" s="94">
        <v>0</v>
      </c>
      <c r="T26" s="94">
        <v>0</v>
      </c>
      <c r="U26" s="197">
        <v>0</v>
      </c>
      <c r="V26" s="260" t="s">
        <v>1445</v>
      </c>
    </row>
    <row r="27" spans="1:22" ht="18">
      <c r="A27" s="12"/>
      <c r="B27" s="12" t="s">
        <v>660</v>
      </c>
      <c r="C27" s="130" t="s">
        <v>663</v>
      </c>
      <c r="D27" s="93">
        <f t="shared" si="2"/>
        <v>2000000</v>
      </c>
      <c r="E27" s="94">
        <v>0</v>
      </c>
      <c r="F27" s="94">
        <v>0</v>
      </c>
      <c r="G27" s="94">
        <v>2000000</v>
      </c>
      <c r="H27" s="94">
        <v>0</v>
      </c>
      <c r="I27" s="94">
        <v>0</v>
      </c>
      <c r="J27" s="94">
        <v>0</v>
      </c>
      <c r="K27" s="94">
        <v>0</v>
      </c>
      <c r="L27" s="197">
        <v>0</v>
      </c>
      <c r="M27" s="93">
        <f t="shared" si="3"/>
        <v>2000000</v>
      </c>
      <c r="N27" s="94">
        <v>0</v>
      </c>
      <c r="O27" s="94">
        <v>0</v>
      </c>
      <c r="P27" s="94">
        <v>2000000</v>
      </c>
      <c r="Q27" s="94">
        <v>0</v>
      </c>
      <c r="R27" s="94">
        <v>0</v>
      </c>
      <c r="S27" s="94">
        <v>0</v>
      </c>
      <c r="T27" s="94">
        <v>0</v>
      </c>
      <c r="U27" s="197">
        <v>0</v>
      </c>
      <c r="V27" s="260" t="s">
        <v>1446</v>
      </c>
    </row>
    <row r="28" spans="1:22" ht="30">
      <c r="A28" s="12"/>
      <c r="B28" s="12" t="s">
        <v>662</v>
      </c>
      <c r="C28" s="130" t="s">
        <v>665</v>
      </c>
      <c r="D28" s="93">
        <f t="shared" si="2"/>
        <v>1000000</v>
      </c>
      <c r="E28" s="94">
        <v>0</v>
      </c>
      <c r="F28" s="94">
        <v>0</v>
      </c>
      <c r="G28" s="94">
        <v>1000000</v>
      </c>
      <c r="H28" s="94">
        <v>0</v>
      </c>
      <c r="I28" s="94">
        <v>0</v>
      </c>
      <c r="J28" s="94">
        <v>0</v>
      </c>
      <c r="K28" s="94">
        <v>0</v>
      </c>
      <c r="L28" s="197">
        <v>0</v>
      </c>
      <c r="M28" s="93">
        <f t="shared" si="3"/>
        <v>1000000</v>
      </c>
      <c r="N28" s="94">
        <v>0</v>
      </c>
      <c r="O28" s="94">
        <v>0</v>
      </c>
      <c r="P28" s="94">
        <v>1000000</v>
      </c>
      <c r="Q28" s="94">
        <v>0</v>
      </c>
      <c r="R28" s="94">
        <v>0</v>
      </c>
      <c r="S28" s="94">
        <v>0</v>
      </c>
      <c r="T28" s="94">
        <v>0</v>
      </c>
      <c r="U28" s="197">
        <v>0</v>
      </c>
      <c r="V28" s="260" t="s">
        <v>1447</v>
      </c>
    </row>
    <row r="29" spans="1:22" ht="30">
      <c r="A29" s="12"/>
      <c r="B29" s="12" t="s">
        <v>664</v>
      </c>
      <c r="C29" s="130" t="s">
        <v>667</v>
      </c>
      <c r="D29" s="93">
        <f t="shared" si="2"/>
        <v>737500000</v>
      </c>
      <c r="E29" s="94">
        <v>0</v>
      </c>
      <c r="F29" s="94">
        <v>0</v>
      </c>
      <c r="G29" s="94">
        <f>807500000-70000000</f>
        <v>737500000</v>
      </c>
      <c r="H29" s="94">
        <v>0</v>
      </c>
      <c r="I29" s="94">
        <v>0</v>
      </c>
      <c r="J29" s="94">
        <v>0</v>
      </c>
      <c r="K29" s="94">
        <v>0</v>
      </c>
      <c r="L29" s="197">
        <v>0</v>
      </c>
      <c r="M29" s="93">
        <f t="shared" si="3"/>
        <v>737500000</v>
      </c>
      <c r="N29" s="94">
        <v>0</v>
      </c>
      <c r="O29" s="94">
        <v>0</v>
      </c>
      <c r="P29" s="94">
        <f>807500000-70000000</f>
        <v>737500000</v>
      </c>
      <c r="Q29" s="94">
        <v>0</v>
      </c>
      <c r="R29" s="94">
        <v>0</v>
      </c>
      <c r="S29" s="94">
        <v>0</v>
      </c>
      <c r="T29" s="94">
        <v>0</v>
      </c>
      <c r="U29" s="197">
        <v>0</v>
      </c>
      <c r="V29" s="260" t="s">
        <v>1448</v>
      </c>
    </row>
    <row r="30" spans="1:22" ht="45">
      <c r="A30" s="12"/>
      <c r="B30" s="12" t="s">
        <v>666</v>
      </c>
      <c r="C30" s="130" t="s">
        <v>669</v>
      </c>
      <c r="D30" s="93">
        <f t="shared" si="2"/>
        <v>2000000</v>
      </c>
      <c r="E30" s="94">
        <v>0</v>
      </c>
      <c r="F30" s="94">
        <v>0</v>
      </c>
      <c r="G30" s="94">
        <v>2000000</v>
      </c>
      <c r="H30" s="94">
        <v>0</v>
      </c>
      <c r="I30" s="94">
        <v>0</v>
      </c>
      <c r="J30" s="94">
        <v>0</v>
      </c>
      <c r="K30" s="94">
        <v>0</v>
      </c>
      <c r="L30" s="197">
        <v>0</v>
      </c>
      <c r="M30" s="93">
        <f t="shared" si="3"/>
        <v>2000000</v>
      </c>
      <c r="N30" s="94">
        <v>0</v>
      </c>
      <c r="O30" s="94">
        <v>0</v>
      </c>
      <c r="P30" s="94">
        <v>2000000</v>
      </c>
      <c r="Q30" s="94">
        <v>0</v>
      </c>
      <c r="R30" s="94">
        <v>0</v>
      </c>
      <c r="S30" s="94">
        <v>0</v>
      </c>
      <c r="T30" s="94">
        <v>0</v>
      </c>
      <c r="U30" s="197">
        <v>0</v>
      </c>
      <c r="V30" s="260" t="s">
        <v>1449</v>
      </c>
    </row>
    <row r="31" spans="1:22" ht="30.75" customHeight="1">
      <c r="A31" s="12"/>
      <c r="B31" s="12" t="s">
        <v>668</v>
      </c>
      <c r="C31" s="130" t="s">
        <v>671</v>
      </c>
      <c r="D31" s="93">
        <f t="shared" si="2"/>
        <v>268777300</v>
      </c>
      <c r="E31" s="94">
        <v>0</v>
      </c>
      <c r="F31" s="94">
        <v>0</v>
      </c>
      <c r="G31" s="94">
        <v>0</v>
      </c>
      <c r="H31" s="94">
        <v>0</v>
      </c>
      <c r="I31" s="94">
        <v>268777300</v>
      </c>
      <c r="J31" s="94">
        <v>0</v>
      </c>
      <c r="K31" s="94">
        <v>0</v>
      </c>
      <c r="L31" s="197">
        <v>0</v>
      </c>
      <c r="M31" s="93">
        <f t="shared" si="3"/>
        <v>268777300</v>
      </c>
      <c r="N31" s="94">
        <v>0</v>
      </c>
      <c r="O31" s="94">
        <v>0</v>
      </c>
      <c r="P31" s="94">
        <v>0</v>
      </c>
      <c r="Q31" s="94">
        <v>0</v>
      </c>
      <c r="R31" s="94">
        <v>268777300</v>
      </c>
      <c r="S31" s="94">
        <v>0</v>
      </c>
      <c r="T31" s="94">
        <v>0</v>
      </c>
      <c r="U31" s="197">
        <v>0</v>
      </c>
      <c r="V31" s="260" t="s">
        <v>1450</v>
      </c>
    </row>
    <row r="32" spans="1:22" ht="22.5" customHeight="1">
      <c r="A32" s="12"/>
      <c r="B32" s="12" t="s">
        <v>670</v>
      </c>
      <c r="C32" s="130" t="s">
        <v>673</v>
      </c>
      <c r="D32" s="93">
        <f t="shared" si="2"/>
        <v>85000000</v>
      </c>
      <c r="E32" s="94">
        <v>0</v>
      </c>
      <c r="F32" s="94">
        <v>0</v>
      </c>
      <c r="G32" s="94">
        <v>85000000</v>
      </c>
      <c r="H32" s="94">
        <v>0</v>
      </c>
      <c r="I32" s="94">
        <v>0</v>
      </c>
      <c r="J32" s="94">
        <v>0</v>
      </c>
      <c r="K32" s="94">
        <v>0</v>
      </c>
      <c r="L32" s="197">
        <v>0</v>
      </c>
      <c r="M32" s="93">
        <f t="shared" si="3"/>
        <v>85000000</v>
      </c>
      <c r="N32" s="94">
        <v>0</v>
      </c>
      <c r="O32" s="94">
        <v>0</v>
      </c>
      <c r="P32" s="94">
        <v>85000000</v>
      </c>
      <c r="Q32" s="94">
        <v>0</v>
      </c>
      <c r="R32" s="94">
        <v>0</v>
      </c>
      <c r="S32" s="94">
        <v>0</v>
      </c>
      <c r="T32" s="94">
        <v>0</v>
      </c>
      <c r="U32" s="197">
        <v>0</v>
      </c>
      <c r="V32" s="260" t="s">
        <v>1451</v>
      </c>
    </row>
    <row r="33" spans="1:22" ht="21" customHeight="1">
      <c r="A33" s="12"/>
      <c r="B33" s="12" t="s">
        <v>672</v>
      </c>
      <c r="C33" s="19" t="s">
        <v>674</v>
      </c>
      <c r="D33" s="93">
        <f t="shared" si="2"/>
        <v>278992711</v>
      </c>
      <c r="E33" s="94">
        <v>0</v>
      </c>
      <c r="F33" s="94">
        <v>0</v>
      </c>
      <c r="G33" s="94">
        <v>278992711</v>
      </c>
      <c r="H33" s="94">
        <v>0</v>
      </c>
      <c r="I33" s="94">
        <v>0</v>
      </c>
      <c r="J33" s="94">
        <v>0</v>
      </c>
      <c r="K33" s="94">
        <v>0</v>
      </c>
      <c r="L33" s="197">
        <v>0</v>
      </c>
      <c r="M33" s="93">
        <f t="shared" si="3"/>
        <v>278992711</v>
      </c>
      <c r="N33" s="94">
        <v>0</v>
      </c>
      <c r="O33" s="94">
        <v>0</v>
      </c>
      <c r="P33" s="94">
        <v>278992711</v>
      </c>
      <c r="Q33" s="94">
        <v>0</v>
      </c>
      <c r="R33" s="94">
        <v>0</v>
      </c>
      <c r="S33" s="94">
        <v>0</v>
      </c>
      <c r="T33" s="94">
        <v>0</v>
      </c>
      <c r="U33" s="197">
        <v>0</v>
      </c>
      <c r="V33" s="260" t="s">
        <v>1452</v>
      </c>
    </row>
    <row r="34" spans="1:22" ht="32.25" customHeight="1">
      <c r="A34" s="12"/>
      <c r="B34" s="12" t="s">
        <v>1222</v>
      </c>
      <c r="C34" s="185" t="s">
        <v>1223</v>
      </c>
      <c r="D34" s="93">
        <f t="shared" si="2"/>
        <v>10940776494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10940776494</v>
      </c>
      <c r="K34" s="94">
        <v>0</v>
      </c>
      <c r="L34" s="197">
        <v>0</v>
      </c>
      <c r="M34" s="93">
        <f t="shared" si="3"/>
        <v>10940776494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10940776494</v>
      </c>
      <c r="T34" s="94">
        <v>0</v>
      </c>
      <c r="U34" s="197">
        <v>0</v>
      </c>
      <c r="V34" s="300">
        <v>58125</v>
      </c>
    </row>
    <row r="35" spans="1:22" ht="18">
      <c r="A35" s="12" t="s">
        <v>143</v>
      </c>
      <c r="B35" s="12"/>
      <c r="C35" s="82" t="s">
        <v>42</v>
      </c>
      <c r="D35" s="24">
        <f t="shared" si="2"/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7">
        <v>0</v>
      </c>
      <c r="M35" s="24">
        <f t="shared" si="3"/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27">
        <v>0</v>
      </c>
      <c r="V35" s="260"/>
    </row>
    <row r="36" spans="1:22" ht="18">
      <c r="A36" s="12" t="s">
        <v>144</v>
      </c>
      <c r="B36" s="12"/>
      <c r="C36" s="82" t="s">
        <v>44</v>
      </c>
      <c r="D36" s="24">
        <f t="shared" si="2"/>
        <v>16000000</v>
      </c>
      <c r="E36" s="120">
        <f>SUM(E37+E38)</f>
        <v>0</v>
      </c>
      <c r="F36" s="120">
        <f aca="true" t="shared" si="4" ref="F36:L36">SUM(F37+F38)</f>
        <v>0</v>
      </c>
      <c r="G36" s="120">
        <f t="shared" si="4"/>
        <v>16000000</v>
      </c>
      <c r="H36" s="120">
        <f t="shared" si="4"/>
        <v>0</v>
      </c>
      <c r="I36" s="120">
        <f t="shared" si="4"/>
        <v>0</v>
      </c>
      <c r="J36" s="120">
        <f t="shared" si="4"/>
        <v>0</v>
      </c>
      <c r="K36" s="120">
        <f t="shared" si="4"/>
        <v>0</v>
      </c>
      <c r="L36" s="127">
        <f t="shared" si="4"/>
        <v>0</v>
      </c>
      <c r="M36" s="24">
        <f t="shared" si="3"/>
        <v>16000000</v>
      </c>
      <c r="N36" s="120">
        <f>SUM(N37+N38)</f>
        <v>0</v>
      </c>
      <c r="O36" s="120">
        <f aca="true" t="shared" si="5" ref="O36:U36">SUM(O37+O38)</f>
        <v>0</v>
      </c>
      <c r="P36" s="120">
        <f t="shared" si="5"/>
        <v>16000000</v>
      </c>
      <c r="Q36" s="120">
        <f t="shared" si="5"/>
        <v>0</v>
      </c>
      <c r="R36" s="120">
        <f t="shared" si="5"/>
        <v>0</v>
      </c>
      <c r="S36" s="120">
        <f t="shared" si="5"/>
        <v>0</v>
      </c>
      <c r="T36" s="120">
        <f t="shared" si="5"/>
        <v>0</v>
      </c>
      <c r="U36" s="127">
        <f t="shared" si="5"/>
        <v>0</v>
      </c>
      <c r="V36" s="260"/>
    </row>
    <row r="37" spans="1:22" ht="30">
      <c r="A37" s="12"/>
      <c r="B37" s="12" t="s">
        <v>675</v>
      </c>
      <c r="C37" s="19" t="s">
        <v>676</v>
      </c>
      <c r="D37" s="93">
        <f>SUM(E37:L37)</f>
        <v>1000000</v>
      </c>
      <c r="E37" s="94">
        <v>0</v>
      </c>
      <c r="F37" s="94">
        <v>0</v>
      </c>
      <c r="G37" s="94">
        <v>1000000</v>
      </c>
      <c r="H37" s="94">
        <v>0</v>
      </c>
      <c r="I37" s="94">
        <v>0</v>
      </c>
      <c r="J37" s="94">
        <v>0</v>
      </c>
      <c r="K37" s="94">
        <v>0</v>
      </c>
      <c r="L37" s="259">
        <v>0</v>
      </c>
      <c r="M37" s="93">
        <f>SUM(N37:U37)</f>
        <v>1000000</v>
      </c>
      <c r="N37" s="94">
        <v>0</v>
      </c>
      <c r="O37" s="94">
        <v>0</v>
      </c>
      <c r="P37" s="94">
        <v>1000000</v>
      </c>
      <c r="Q37" s="94">
        <v>0</v>
      </c>
      <c r="R37" s="94">
        <v>0</v>
      </c>
      <c r="S37" s="94">
        <v>0</v>
      </c>
      <c r="T37" s="94">
        <v>0</v>
      </c>
      <c r="U37" s="259">
        <v>0</v>
      </c>
      <c r="V37" s="260" t="s">
        <v>1453</v>
      </c>
    </row>
    <row r="38" spans="1:22" s="136" customFormat="1" ht="18">
      <c r="A38" s="12"/>
      <c r="B38" s="12" t="s">
        <v>886</v>
      </c>
      <c r="C38" s="19" t="s">
        <v>1524</v>
      </c>
      <c r="D38" s="93">
        <f t="shared" si="2"/>
        <v>15000000</v>
      </c>
      <c r="E38" s="94">
        <v>0</v>
      </c>
      <c r="F38" s="94">
        <v>0</v>
      </c>
      <c r="G38" s="94">
        <v>15000000</v>
      </c>
      <c r="H38" s="94">
        <v>0</v>
      </c>
      <c r="I38" s="94">
        <v>0</v>
      </c>
      <c r="J38" s="94">
        <v>0</v>
      </c>
      <c r="K38" s="94">
        <v>0</v>
      </c>
      <c r="L38" s="259">
        <v>0</v>
      </c>
      <c r="M38" s="93">
        <f>SUM(N38:U38)</f>
        <v>15000000</v>
      </c>
      <c r="N38" s="94">
        <v>0</v>
      </c>
      <c r="O38" s="94">
        <v>0</v>
      </c>
      <c r="P38" s="94">
        <v>15000000</v>
      </c>
      <c r="Q38" s="94">
        <v>0</v>
      </c>
      <c r="R38" s="94">
        <v>0</v>
      </c>
      <c r="S38" s="94">
        <v>0</v>
      </c>
      <c r="T38" s="94">
        <v>0</v>
      </c>
      <c r="U38" s="259">
        <v>0</v>
      </c>
      <c r="V38" s="300" t="s">
        <v>1454</v>
      </c>
    </row>
    <row r="39" spans="1:22" ht="30.75" customHeight="1">
      <c r="A39" s="402" t="s">
        <v>315</v>
      </c>
      <c r="B39" s="402"/>
      <c r="C39" s="402"/>
      <c r="D39" s="24">
        <f t="shared" si="2"/>
        <v>13581607062</v>
      </c>
      <c r="E39" s="120">
        <f aca="true" t="shared" si="6" ref="E39:L39">E10+E35+E36</f>
        <v>27089247</v>
      </c>
      <c r="F39" s="120">
        <f t="shared" si="6"/>
        <v>6834941</v>
      </c>
      <c r="G39" s="120">
        <f t="shared" si="6"/>
        <v>1737129080</v>
      </c>
      <c r="H39" s="120">
        <f t="shared" si="6"/>
        <v>0</v>
      </c>
      <c r="I39" s="120">
        <f t="shared" si="6"/>
        <v>869777300</v>
      </c>
      <c r="J39" s="120">
        <f t="shared" si="6"/>
        <v>10940776494</v>
      </c>
      <c r="K39" s="120">
        <f t="shared" si="6"/>
        <v>0</v>
      </c>
      <c r="L39" s="127">
        <f t="shared" si="6"/>
        <v>0</v>
      </c>
      <c r="M39" s="24">
        <f>SUM(N39:U39)</f>
        <v>13581607062</v>
      </c>
      <c r="N39" s="120">
        <f aca="true" t="shared" si="7" ref="N39:U39">N10+N35+N36</f>
        <v>27089247</v>
      </c>
      <c r="O39" s="120">
        <f t="shared" si="7"/>
        <v>6834941</v>
      </c>
      <c r="P39" s="120">
        <f t="shared" si="7"/>
        <v>1737129080</v>
      </c>
      <c r="Q39" s="120">
        <f t="shared" si="7"/>
        <v>0</v>
      </c>
      <c r="R39" s="120">
        <f t="shared" si="7"/>
        <v>869777300</v>
      </c>
      <c r="S39" s="120">
        <f t="shared" si="7"/>
        <v>10940776494</v>
      </c>
      <c r="T39" s="120">
        <f t="shared" si="7"/>
        <v>0</v>
      </c>
      <c r="U39" s="127">
        <f t="shared" si="7"/>
        <v>0</v>
      </c>
      <c r="V39" s="260"/>
    </row>
    <row r="41" spans="3:22" s="147" customFormat="1" ht="18">
      <c r="C41" s="156"/>
      <c r="V41" s="252"/>
    </row>
    <row r="42" spans="3:22" s="147" customFormat="1" ht="18">
      <c r="C42" s="156"/>
      <c r="V42" s="252"/>
    </row>
    <row r="43" spans="3:22" s="128" customFormat="1" ht="18">
      <c r="C43" s="155"/>
      <c r="V43" s="252"/>
    </row>
    <row r="44" spans="3:22" s="128" customFormat="1" ht="18">
      <c r="C44" s="155"/>
      <c r="V44" s="252"/>
    </row>
  </sheetData>
  <sheetProtection selectLockedCells="1" selectUnlockedCells="1"/>
  <mergeCells count="17">
    <mergeCell ref="A39:C39"/>
    <mergeCell ref="E8:I8"/>
    <mergeCell ref="J8:L8"/>
    <mergeCell ref="A7:A9"/>
    <mergeCell ref="B7:B9"/>
    <mergeCell ref="A1:V1"/>
    <mergeCell ref="C7:C9"/>
    <mergeCell ref="A3:V3"/>
    <mergeCell ref="A4:V4"/>
    <mergeCell ref="A2:V2"/>
    <mergeCell ref="D7:D9"/>
    <mergeCell ref="E7:L7"/>
    <mergeCell ref="V7:V10"/>
    <mergeCell ref="M7:M9"/>
    <mergeCell ref="N7:U7"/>
    <mergeCell ref="N8:R8"/>
    <mergeCell ref="S8:U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8" scale="3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7"/>
  <sheetViews>
    <sheetView view="pageBreakPreview" zoomScale="71" zoomScaleNormal="71" zoomScaleSheetLayoutView="71" zoomScalePageLayoutView="0" workbookViewId="0" topLeftCell="A1">
      <pane ySplit="9" topLeftCell="A10" activePane="bottomLeft" state="frozen"/>
      <selection pane="topLeft" activeCell="A1" sqref="A1"/>
      <selection pane="bottomLeft" activeCell="A1" sqref="A1:V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36.7109375" style="0" customWidth="1"/>
    <col min="4" max="4" width="20.421875" style="0" customWidth="1"/>
    <col min="5" max="5" width="17.57421875" style="0" customWidth="1"/>
    <col min="6" max="6" width="14.57421875" style="0" customWidth="1"/>
    <col min="7" max="7" width="17.57421875" style="0" customWidth="1"/>
    <col min="8" max="8" width="14.57421875" style="0" customWidth="1"/>
    <col min="9" max="9" width="17.57421875" style="0" customWidth="1"/>
    <col min="10" max="12" width="14.57421875" style="0" customWidth="1"/>
    <col min="13" max="13" width="20.421875" style="0" customWidth="1"/>
    <col min="14" max="14" width="17.57421875" style="0" customWidth="1"/>
    <col min="15" max="15" width="14.57421875" style="0" customWidth="1"/>
    <col min="16" max="16" width="17.57421875" style="0" customWidth="1"/>
    <col min="17" max="17" width="14.57421875" style="0" customWidth="1"/>
    <col min="18" max="18" width="17.57421875" style="0" customWidth="1"/>
    <col min="19" max="21" width="14.57421875" style="0" customWidth="1"/>
    <col min="22" max="22" width="16.8515625" style="0" customWidth="1"/>
  </cols>
  <sheetData>
    <row r="1" spans="1:22" ht="21" customHeight="1">
      <c r="A1" s="347" t="s">
        <v>1567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22.5" customHeight="1">
      <c r="A2" s="445" t="s">
        <v>1542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</row>
    <row r="3" spans="1:22" ht="18" customHeight="1">
      <c r="A3" s="423" t="s">
        <v>677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ht="18">
      <c r="A4" s="424" t="s">
        <v>678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3"/>
      <c r="N5" s="3"/>
      <c r="O5" s="3"/>
      <c r="P5" s="3"/>
      <c r="Q5" s="3"/>
      <c r="R5" s="3"/>
      <c r="S5" s="3"/>
      <c r="T5" s="3"/>
      <c r="V5" s="189" t="s">
        <v>1</v>
      </c>
    </row>
    <row r="6" spans="1:23" ht="15" customHeight="1">
      <c r="A6" s="265" t="s">
        <v>2</v>
      </c>
      <c r="B6" s="265" t="s">
        <v>3</v>
      </c>
      <c r="C6" s="265" t="s">
        <v>4</v>
      </c>
      <c r="D6" s="265" t="s">
        <v>5</v>
      </c>
      <c r="E6" s="265" t="s">
        <v>6</v>
      </c>
      <c r="F6" s="265" t="s">
        <v>7</v>
      </c>
      <c r="G6" s="265" t="s">
        <v>8</v>
      </c>
      <c r="H6" s="265" t="s">
        <v>9</v>
      </c>
      <c r="I6" s="265" t="s">
        <v>10</v>
      </c>
      <c r="J6" s="266" t="s">
        <v>11</v>
      </c>
      <c r="K6" s="265" t="s">
        <v>12</v>
      </c>
      <c r="L6" s="267" t="s">
        <v>13</v>
      </c>
      <c r="M6" s="295" t="s">
        <v>14</v>
      </c>
      <c r="N6" s="265" t="s">
        <v>15</v>
      </c>
      <c r="O6" s="265" t="s">
        <v>16</v>
      </c>
      <c r="P6" s="265" t="s">
        <v>17</v>
      </c>
      <c r="Q6" s="265" t="s">
        <v>18</v>
      </c>
      <c r="R6" s="265" t="s">
        <v>19</v>
      </c>
      <c r="S6" s="266" t="s">
        <v>20</v>
      </c>
      <c r="T6" s="265" t="s">
        <v>21</v>
      </c>
      <c r="U6" s="267" t="s">
        <v>22</v>
      </c>
      <c r="V6" s="268" t="s">
        <v>181</v>
      </c>
      <c r="W6" s="244"/>
    </row>
    <row r="7" spans="1:22" ht="12.75" customHeight="1">
      <c r="A7" s="354" t="s">
        <v>24</v>
      </c>
      <c r="B7" s="354" t="s">
        <v>185</v>
      </c>
      <c r="C7" s="355" t="s">
        <v>25</v>
      </c>
      <c r="D7" s="355" t="s">
        <v>1099</v>
      </c>
      <c r="E7" s="403" t="s">
        <v>26</v>
      </c>
      <c r="F7" s="403"/>
      <c r="G7" s="403"/>
      <c r="H7" s="403"/>
      <c r="I7" s="403"/>
      <c r="J7" s="403"/>
      <c r="K7" s="403"/>
      <c r="L7" s="404"/>
      <c r="M7" s="355" t="s">
        <v>1526</v>
      </c>
      <c r="N7" s="403" t="s">
        <v>1525</v>
      </c>
      <c r="O7" s="403"/>
      <c r="P7" s="403"/>
      <c r="Q7" s="403"/>
      <c r="R7" s="403"/>
      <c r="S7" s="403"/>
      <c r="T7" s="403"/>
      <c r="U7" s="404"/>
      <c r="V7" s="444" t="s">
        <v>1234</v>
      </c>
    </row>
    <row r="8" spans="1:22" ht="12.75" customHeight="1">
      <c r="A8" s="354"/>
      <c r="B8" s="354"/>
      <c r="C8" s="355"/>
      <c r="D8" s="355"/>
      <c r="E8" s="351" t="s">
        <v>27</v>
      </c>
      <c r="F8" s="351"/>
      <c r="G8" s="351"/>
      <c r="H8" s="351"/>
      <c r="I8" s="351"/>
      <c r="J8" s="351" t="s">
        <v>28</v>
      </c>
      <c r="K8" s="351"/>
      <c r="L8" s="398"/>
      <c r="M8" s="355"/>
      <c r="N8" s="351" t="s">
        <v>27</v>
      </c>
      <c r="O8" s="351"/>
      <c r="P8" s="351"/>
      <c r="Q8" s="351"/>
      <c r="R8" s="351"/>
      <c r="S8" s="351" t="s">
        <v>28</v>
      </c>
      <c r="T8" s="351"/>
      <c r="U8" s="398"/>
      <c r="V8" s="444"/>
    </row>
    <row r="9" spans="1:22" ht="89.25">
      <c r="A9" s="354"/>
      <c r="B9" s="354"/>
      <c r="C9" s="355"/>
      <c r="D9" s="35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196" t="s">
        <v>36</v>
      </c>
      <c r="M9" s="35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196" t="s">
        <v>36</v>
      </c>
      <c r="V9" s="444"/>
    </row>
    <row r="10" spans="1:22" ht="18">
      <c r="A10" s="12" t="s">
        <v>147</v>
      </c>
      <c r="B10" s="12"/>
      <c r="C10" s="82" t="s">
        <v>40</v>
      </c>
      <c r="D10" s="24">
        <f aca="true" t="shared" si="0" ref="D10:D24">SUM(E10:L10)</f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3">
        <v>0</v>
      </c>
      <c r="M10" s="24">
        <f aca="true" t="shared" si="1" ref="M10:M24">SUM(N10:U10)</f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3">
        <v>0</v>
      </c>
      <c r="V10" s="444"/>
    </row>
    <row r="11" spans="1:22" ht="18">
      <c r="A11" s="12" t="s">
        <v>148</v>
      </c>
      <c r="B11" s="12"/>
      <c r="C11" s="82" t="s">
        <v>42</v>
      </c>
      <c r="D11" s="24">
        <f t="shared" si="0"/>
        <v>325211471</v>
      </c>
      <c r="E11" s="120">
        <f aca="true" t="shared" si="2" ref="E11:L11">SUM(E12:E22)</f>
        <v>36069444</v>
      </c>
      <c r="F11" s="120">
        <f t="shared" si="2"/>
        <v>21244697</v>
      </c>
      <c r="G11" s="120">
        <f t="shared" si="2"/>
        <v>238847330</v>
      </c>
      <c r="H11" s="120">
        <f t="shared" si="2"/>
        <v>0</v>
      </c>
      <c r="I11" s="120">
        <f t="shared" si="2"/>
        <v>2000000</v>
      </c>
      <c r="J11" s="120">
        <f t="shared" si="2"/>
        <v>27050000</v>
      </c>
      <c r="K11" s="120">
        <f t="shared" si="2"/>
        <v>0</v>
      </c>
      <c r="L11" s="127">
        <f t="shared" si="2"/>
        <v>0</v>
      </c>
      <c r="M11" s="24">
        <f t="shared" si="1"/>
        <v>325211471</v>
      </c>
      <c r="N11" s="120">
        <f aca="true" t="shared" si="3" ref="N11:U11">SUM(N12:N22)</f>
        <v>36069444</v>
      </c>
      <c r="O11" s="120">
        <f t="shared" si="3"/>
        <v>21244697</v>
      </c>
      <c r="P11" s="120">
        <f t="shared" si="3"/>
        <v>238847330</v>
      </c>
      <c r="Q11" s="120">
        <f t="shared" si="3"/>
        <v>0</v>
      </c>
      <c r="R11" s="120">
        <f t="shared" si="3"/>
        <v>2000000</v>
      </c>
      <c r="S11" s="120">
        <f t="shared" si="3"/>
        <v>27050000</v>
      </c>
      <c r="T11" s="120">
        <f t="shared" si="3"/>
        <v>0</v>
      </c>
      <c r="U11" s="127">
        <f t="shared" si="3"/>
        <v>0</v>
      </c>
      <c r="V11" s="444"/>
    </row>
    <row r="12" spans="1:22" ht="30">
      <c r="A12" s="12"/>
      <c r="B12" s="12" t="s">
        <v>679</v>
      </c>
      <c r="C12" s="19" t="s">
        <v>680</v>
      </c>
      <c r="D12" s="93">
        <f t="shared" si="0"/>
        <v>53547830</v>
      </c>
      <c r="E12" s="94">
        <v>2220000</v>
      </c>
      <c r="F12" s="94">
        <v>1038610</v>
      </c>
      <c r="G12" s="94">
        <v>50289220</v>
      </c>
      <c r="H12" s="94">
        <v>0</v>
      </c>
      <c r="I12" s="94">
        <v>0</v>
      </c>
      <c r="J12" s="94">
        <v>0</v>
      </c>
      <c r="K12" s="94">
        <v>0</v>
      </c>
      <c r="L12" s="197">
        <v>0</v>
      </c>
      <c r="M12" s="93">
        <f t="shared" si="1"/>
        <v>53547830</v>
      </c>
      <c r="N12" s="94">
        <v>2220000</v>
      </c>
      <c r="O12" s="94">
        <v>1038610</v>
      </c>
      <c r="P12" s="94">
        <v>50289220</v>
      </c>
      <c r="Q12" s="94">
        <v>0</v>
      </c>
      <c r="R12" s="94">
        <v>0</v>
      </c>
      <c r="S12" s="94">
        <v>0</v>
      </c>
      <c r="T12" s="94">
        <v>0</v>
      </c>
      <c r="U12" s="197">
        <v>0</v>
      </c>
      <c r="V12" s="316" t="s">
        <v>1455</v>
      </c>
    </row>
    <row r="13" spans="1:22" ht="45">
      <c r="A13" s="12"/>
      <c r="B13" s="12" t="s">
        <v>681</v>
      </c>
      <c r="C13" s="19" t="s">
        <v>885</v>
      </c>
      <c r="D13" s="93">
        <f t="shared" si="0"/>
        <v>84124457</v>
      </c>
      <c r="E13" s="94">
        <v>25555696</v>
      </c>
      <c r="F13" s="94">
        <v>16507157</v>
      </c>
      <c r="G13" s="94">
        <v>42061604</v>
      </c>
      <c r="H13" s="94">
        <v>0</v>
      </c>
      <c r="I13" s="94">
        <v>0</v>
      </c>
      <c r="J13" s="94">
        <v>0</v>
      </c>
      <c r="K13" s="94">
        <v>0</v>
      </c>
      <c r="L13" s="197">
        <v>0</v>
      </c>
      <c r="M13" s="93">
        <f t="shared" si="1"/>
        <v>84124457</v>
      </c>
      <c r="N13" s="94">
        <v>25555696</v>
      </c>
      <c r="O13" s="94">
        <v>16507157</v>
      </c>
      <c r="P13" s="94">
        <v>42061604</v>
      </c>
      <c r="Q13" s="94">
        <v>0</v>
      </c>
      <c r="R13" s="94">
        <v>0</v>
      </c>
      <c r="S13" s="94">
        <v>0</v>
      </c>
      <c r="T13" s="94">
        <v>0</v>
      </c>
      <c r="U13" s="197">
        <v>0</v>
      </c>
      <c r="V13" s="316" t="s">
        <v>1456</v>
      </c>
    </row>
    <row r="14" spans="1:22" ht="18">
      <c r="A14" s="12"/>
      <c r="B14" s="12" t="s">
        <v>682</v>
      </c>
      <c r="C14" s="19" t="s">
        <v>683</v>
      </c>
      <c r="D14" s="93">
        <f t="shared" si="0"/>
        <v>39558399</v>
      </c>
      <c r="E14" s="94">
        <v>5524089</v>
      </c>
      <c r="F14" s="94">
        <v>2655924</v>
      </c>
      <c r="G14" s="94">
        <v>29378386</v>
      </c>
      <c r="H14" s="94">
        <v>0</v>
      </c>
      <c r="I14" s="94">
        <v>2000000</v>
      </c>
      <c r="J14" s="94">
        <v>0</v>
      </c>
      <c r="K14" s="94">
        <v>0</v>
      </c>
      <c r="L14" s="197">
        <v>0</v>
      </c>
      <c r="M14" s="93">
        <f t="shared" si="1"/>
        <v>39558399</v>
      </c>
      <c r="N14" s="94">
        <v>5524089</v>
      </c>
      <c r="O14" s="94">
        <v>2655924</v>
      </c>
      <c r="P14" s="94">
        <v>29378386</v>
      </c>
      <c r="Q14" s="94">
        <v>0</v>
      </c>
      <c r="R14" s="94">
        <v>2000000</v>
      </c>
      <c r="S14" s="94">
        <v>0</v>
      </c>
      <c r="T14" s="94">
        <v>0</v>
      </c>
      <c r="U14" s="197">
        <v>0</v>
      </c>
      <c r="V14" s="316" t="s">
        <v>1457</v>
      </c>
    </row>
    <row r="15" spans="1:22" ht="18">
      <c r="A15" s="12"/>
      <c r="B15" s="12" t="s">
        <v>684</v>
      </c>
      <c r="C15" s="19" t="s">
        <v>685</v>
      </c>
      <c r="D15" s="93">
        <f t="shared" si="0"/>
        <v>15854901</v>
      </c>
      <c r="E15" s="94">
        <v>1529659</v>
      </c>
      <c r="F15" s="94">
        <v>500886</v>
      </c>
      <c r="G15" s="94">
        <v>9824356</v>
      </c>
      <c r="H15" s="94">
        <v>0</v>
      </c>
      <c r="I15" s="94">
        <v>0</v>
      </c>
      <c r="J15" s="94">
        <v>4000000</v>
      </c>
      <c r="K15" s="94">
        <v>0</v>
      </c>
      <c r="L15" s="197">
        <v>0</v>
      </c>
      <c r="M15" s="93">
        <f t="shared" si="1"/>
        <v>15854901</v>
      </c>
      <c r="N15" s="94">
        <v>1529659</v>
      </c>
      <c r="O15" s="94">
        <v>500886</v>
      </c>
      <c r="P15" s="94">
        <v>9824356</v>
      </c>
      <c r="Q15" s="94">
        <v>0</v>
      </c>
      <c r="R15" s="94">
        <v>0</v>
      </c>
      <c r="S15" s="94">
        <v>4000000</v>
      </c>
      <c r="T15" s="94">
        <v>0</v>
      </c>
      <c r="U15" s="197">
        <v>0</v>
      </c>
      <c r="V15" s="316" t="s">
        <v>1458</v>
      </c>
    </row>
    <row r="16" spans="1:22" ht="30">
      <c r="A16" s="12"/>
      <c r="B16" s="12" t="s">
        <v>686</v>
      </c>
      <c r="C16" s="19" t="s">
        <v>687</v>
      </c>
      <c r="D16" s="93">
        <f t="shared" si="0"/>
        <v>2500000</v>
      </c>
      <c r="E16" s="94">
        <v>0</v>
      </c>
      <c r="F16" s="94">
        <v>0</v>
      </c>
      <c r="G16" s="94">
        <v>2500000</v>
      </c>
      <c r="H16" s="94">
        <v>0</v>
      </c>
      <c r="I16" s="94">
        <v>0</v>
      </c>
      <c r="J16" s="94">
        <v>0</v>
      </c>
      <c r="K16" s="94">
        <v>0</v>
      </c>
      <c r="L16" s="197">
        <v>0</v>
      </c>
      <c r="M16" s="93">
        <f t="shared" si="1"/>
        <v>2500000</v>
      </c>
      <c r="N16" s="94">
        <v>0</v>
      </c>
      <c r="O16" s="94">
        <v>0</v>
      </c>
      <c r="P16" s="94">
        <v>2500000</v>
      </c>
      <c r="Q16" s="94">
        <v>0</v>
      </c>
      <c r="R16" s="94">
        <v>0</v>
      </c>
      <c r="S16" s="94">
        <v>0</v>
      </c>
      <c r="T16" s="94">
        <v>0</v>
      </c>
      <c r="U16" s="197">
        <v>0</v>
      </c>
      <c r="V16" s="316" t="s">
        <v>1459</v>
      </c>
    </row>
    <row r="17" spans="1:22" ht="30">
      <c r="A17" s="12"/>
      <c r="B17" s="12" t="s">
        <v>688</v>
      </c>
      <c r="C17" s="19" t="s">
        <v>689</v>
      </c>
      <c r="D17" s="93">
        <f t="shared" si="0"/>
        <v>51161800</v>
      </c>
      <c r="E17" s="94">
        <v>0</v>
      </c>
      <c r="F17" s="94">
        <v>0</v>
      </c>
      <c r="G17" s="94">
        <v>32111800</v>
      </c>
      <c r="H17" s="94">
        <v>0</v>
      </c>
      <c r="I17" s="94">
        <v>0</v>
      </c>
      <c r="J17" s="94">
        <v>19050000</v>
      </c>
      <c r="K17" s="94">
        <v>0</v>
      </c>
      <c r="L17" s="197">
        <v>0</v>
      </c>
      <c r="M17" s="93">
        <f t="shared" si="1"/>
        <v>51161800</v>
      </c>
      <c r="N17" s="94">
        <v>0</v>
      </c>
      <c r="O17" s="94">
        <v>0</v>
      </c>
      <c r="P17" s="94">
        <v>32111800</v>
      </c>
      <c r="Q17" s="94">
        <v>0</v>
      </c>
      <c r="R17" s="94">
        <v>0</v>
      </c>
      <c r="S17" s="94">
        <v>19050000</v>
      </c>
      <c r="T17" s="94">
        <v>0</v>
      </c>
      <c r="U17" s="197">
        <v>0</v>
      </c>
      <c r="V17" s="316" t="s">
        <v>1460</v>
      </c>
    </row>
    <row r="18" spans="1:22" ht="18">
      <c r="A18" s="12"/>
      <c r="B18" s="12" t="s">
        <v>690</v>
      </c>
      <c r="C18" s="19" t="s">
        <v>691</v>
      </c>
      <c r="D18" s="93">
        <f t="shared" si="0"/>
        <v>39891964</v>
      </c>
      <c r="E18" s="94">
        <v>0</v>
      </c>
      <c r="F18" s="94">
        <v>0</v>
      </c>
      <c r="G18" s="94">
        <v>35891964</v>
      </c>
      <c r="H18" s="94">
        <v>0</v>
      </c>
      <c r="I18" s="94">
        <v>0</v>
      </c>
      <c r="J18" s="94">
        <v>4000000</v>
      </c>
      <c r="K18" s="94">
        <v>0</v>
      </c>
      <c r="L18" s="197">
        <v>0</v>
      </c>
      <c r="M18" s="93">
        <f t="shared" si="1"/>
        <v>39891964</v>
      </c>
      <c r="N18" s="94">
        <v>0</v>
      </c>
      <c r="O18" s="94">
        <v>0</v>
      </c>
      <c r="P18" s="94">
        <v>35891964</v>
      </c>
      <c r="Q18" s="94">
        <v>0</v>
      </c>
      <c r="R18" s="94">
        <v>0</v>
      </c>
      <c r="S18" s="94">
        <v>4000000</v>
      </c>
      <c r="T18" s="94">
        <v>0</v>
      </c>
      <c r="U18" s="197">
        <v>0</v>
      </c>
      <c r="V18" s="316" t="s">
        <v>1461</v>
      </c>
    </row>
    <row r="19" spans="1:22" ht="18">
      <c r="A19" s="12"/>
      <c r="B19" s="12" t="s">
        <v>692</v>
      </c>
      <c r="C19" s="19" t="s">
        <v>1183</v>
      </c>
      <c r="D19" s="93">
        <f t="shared" si="0"/>
        <v>2540000</v>
      </c>
      <c r="E19" s="94">
        <v>0</v>
      </c>
      <c r="F19" s="94">
        <v>0</v>
      </c>
      <c r="G19" s="94">
        <v>2540000</v>
      </c>
      <c r="H19" s="94">
        <v>0</v>
      </c>
      <c r="I19" s="94">
        <v>0</v>
      </c>
      <c r="J19" s="94">
        <v>0</v>
      </c>
      <c r="K19" s="94">
        <v>0</v>
      </c>
      <c r="L19" s="197">
        <v>0</v>
      </c>
      <c r="M19" s="93">
        <f t="shared" si="1"/>
        <v>2540000</v>
      </c>
      <c r="N19" s="94">
        <v>0</v>
      </c>
      <c r="O19" s="94">
        <v>0</v>
      </c>
      <c r="P19" s="94">
        <v>2540000</v>
      </c>
      <c r="Q19" s="94">
        <v>0</v>
      </c>
      <c r="R19" s="94">
        <v>0</v>
      </c>
      <c r="S19" s="94">
        <v>0</v>
      </c>
      <c r="T19" s="94">
        <v>0</v>
      </c>
      <c r="U19" s="197">
        <v>0</v>
      </c>
      <c r="V19" s="316">
        <v>58212</v>
      </c>
    </row>
    <row r="20" spans="1:22" ht="18">
      <c r="A20" s="12"/>
      <c r="B20" s="12" t="s">
        <v>693</v>
      </c>
      <c r="C20" s="19" t="s">
        <v>694</v>
      </c>
      <c r="D20" s="93">
        <f t="shared" si="0"/>
        <v>10282120</v>
      </c>
      <c r="E20" s="94">
        <v>240000</v>
      </c>
      <c r="F20" s="94">
        <v>42120</v>
      </c>
      <c r="G20" s="94">
        <v>10000000</v>
      </c>
      <c r="H20" s="94">
        <v>0</v>
      </c>
      <c r="I20" s="94">
        <v>0</v>
      </c>
      <c r="J20" s="94">
        <v>0</v>
      </c>
      <c r="K20" s="94">
        <v>0</v>
      </c>
      <c r="L20" s="197">
        <v>0</v>
      </c>
      <c r="M20" s="93">
        <f t="shared" si="1"/>
        <v>10282120</v>
      </c>
      <c r="N20" s="94">
        <v>240000</v>
      </c>
      <c r="O20" s="94">
        <v>42120</v>
      </c>
      <c r="P20" s="94">
        <v>10000000</v>
      </c>
      <c r="Q20" s="94">
        <v>0</v>
      </c>
      <c r="R20" s="94">
        <v>0</v>
      </c>
      <c r="S20" s="94">
        <v>0</v>
      </c>
      <c r="T20" s="94">
        <v>0</v>
      </c>
      <c r="U20" s="197">
        <v>0</v>
      </c>
      <c r="V20" s="315" t="s">
        <v>1462</v>
      </c>
    </row>
    <row r="21" spans="1:22" ht="18">
      <c r="A21" s="12"/>
      <c r="B21" s="12" t="s">
        <v>695</v>
      </c>
      <c r="C21" s="19" t="s">
        <v>696</v>
      </c>
      <c r="D21" s="93">
        <f t="shared" si="0"/>
        <v>12700000</v>
      </c>
      <c r="E21" s="94">
        <v>0</v>
      </c>
      <c r="F21" s="94">
        <v>0</v>
      </c>
      <c r="G21" s="94">
        <v>12700000</v>
      </c>
      <c r="H21" s="94">
        <v>0</v>
      </c>
      <c r="I21" s="94">
        <v>0</v>
      </c>
      <c r="J21" s="94">
        <v>0</v>
      </c>
      <c r="K21" s="94">
        <v>0</v>
      </c>
      <c r="L21" s="197">
        <v>0</v>
      </c>
      <c r="M21" s="93">
        <f t="shared" si="1"/>
        <v>12700000</v>
      </c>
      <c r="N21" s="94">
        <v>0</v>
      </c>
      <c r="O21" s="94">
        <v>0</v>
      </c>
      <c r="P21" s="94">
        <v>12700000</v>
      </c>
      <c r="Q21" s="94">
        <v>0</v>
      </c>
      <c r="R21" s="94">
        <v>0</v>
      </c>
      <c r="S21" s="94">
        <v>0</v>
      </c>
      <c r="T21" s="94">
        <v>0</v>
      </c>
      <c r="U21" s="197">
        <v>0</v>
      </c>
      <c r="V21" s="315" t="s">
        <v>1463</v>
      </c>
    </row>
    <row r="22" spans="1:22" ht="30">
      <c r="A22" s="12"/>
      <c r="B22" s="12" t="s">
        <v>697</v>
      </c>
      <c r="C22" s="19" t="s">
        <v>1117</v>
      </c>
      <c r="D22" s="93">
        <f t="shared" si="0"/>
        <v>13050000</v>
      </c>
      <c r="E22" s="94">
        <v>1000000</v>
      </c>
      <c r="F22" s="94">
        <v>500000</v>
      </c>
      <c r="G22" s="94">
        <v>11550000</v>
      </c>
      <c r="H22" s="94">
        <v>0</v>
      </c>
      <c r="I22" s="94">
        <v>0</v>
      </c>
      <c r="J22" s="94">
        <v>0</v>
      </c>
      <c r="K22" s="94">
        <v>0</v>
      </c>
      <c r="L22" s="197">
        <v>0</v>
      </c>
      <c r="M22" s="93">
        <f t="shared" si="1"/>
        <v>13050000</v>
      </c>
      <c r="N22" s="94">
        <v>1000000</v>
      </c>
      <c r="O22" s="94">
        <v>500000</v>
      </c>
      <c r="P22" s="94">
        <v>11550000</v>
      </c>
      <c r="Q22" s="94">
        <v>0</v>
      </c>
      <c r="R22" s="94">
        <v>0</v>
      </c>
      <c r="S22" s="94">
        <v>0</v>
      </c>
      <c r="T22" s="94">
        <v>0</v>
      </c>
      <c r="U22" s="197">
        <v>0</v>
      </c>
      <c r="V22" s="315" t="s">
        <v>1464</v>
      </c>
    </row>
    <row r="23" spans="1:22" ht="18">
      <c r="A23" s="12" t="s">
        <v>149</v>
      </c>
      <c r="B23" s="12"/>
      <c r="C23" s="82" t="s">
        <v>44</v>
      </c>
      <c r="D23" s="24">
        <f t="shared" si="0"/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3">
        <v>0</v>
      </c>
      <c r="M23" s="24">
        <f t="shared" si="1"/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3">
        <v>0</v>
      </c>
      <c r="V23" s="257"/>
    </row>
    <row r="24" spans="1:22" ht="27" customHeight="1">
      <c r="A24" s="402" t="s">
        <v>315</v>
      </c>
      <c r="B24" s="402"/>
      <c r="C24" s="402"/>
      <c r="D24" s="24">
        <f t="shared" si="0"/>
        <v>325211471</v>
      </c>
      <c r="E24" s="120">
        <f aca="true" t="shared" si="4" ref="E24:L24">E10+E11+E23</f>
        <v>36069444</v>
      </c>
      <c r="F24" s="120">
        <f t="shared" si="4"/>
        <v>21244697</v>
      </c>
      <c r="G24" s="120">
        <f t="shared" si="4"/>
        <v>238847330</v>
      </c>
      <c r="H24" s="120">
        <f t="shared" si="4"/>
        <v>0</v>
      </c>
      <c r="I24" s="120">
        <f t="shared" si="4"/>
        <v>2000000</v>
      </c>
      <c r="J24" s="120">
        <f t="shared" si="4"/>
        <v>27050000</v>
      </c>
      <c r="K24" s="120">
        <f t="shared" si="4"/>
        <v>0</v>
      </c>
      <c r="L24" s="127">
        <f t="shared" si="4"/>
        <v>0</v>
      </c>
      <c r="M24" s="24">
        <f t="shared" si="1"/>
        <v>325211471</v>
      </c>
      <c r="N24" s="120">
        <f aca="true" t="shared" si="5" ref="N24:U24">N10+N11+N23</f>
        <v>36069444</v>
      </c>
      <c r="O24" s="120">
        <f t="shared" si="5"/>
        <v>21244697</v>
      </c>
      <c r="P24" s="120">
        <f t="shared" si="5"/>
        <v>238847330</v>
      </c>
      <c r="Q24" s="120">
        <f t="shared" si="5"/>
        <v>0</v>
      </c>
      <c r="R24" s="120">
        <f t="shared" si="5"/>
        <v>2000000</v>
      </c>
      <c r="S24" s="120">
        <f t="shared" si="5"/>
        <v>27050000</v>
      </c>
      <c r="T24" s="120">
        <f t="shared" si="5"/>
        <v>0</v>
      </c>
      <c r="U24" s="127">
        <f t="shared" si="5"/>
        <v>0</v>
      </c>
      <c r="V24" s="257"/>
    </row>
    <row r="27" spans="10:21" ht="12.75">
      <c r="J27" s="32"/>
      <c r="K27" s="32"/>
      <c r="L27" s="32"/>
      <c r="S27" s="32"/>
      <c r="T27" s="32"/>
      <c r="U27" s="32"/>
    </row>
    <row r="28" spans="10:21" ht="12.75">
      <c r="J28" s="32"/>
      <c r="K28" s="32"/>
      <c r="L28" s="32"/>
      <c r="S28" s="32"/>
      <c r="T28" s="32"/>
      <c r="U28" s="32"/>
    </row>
    <row r="29" spans="10:21" ht="12.75">
      <c r="J29" s="32"/>
      <c r="K29" s="32"/>
      <c r="L29" s="32"/>
      <c r="S29" s="32"/>
      <c r="T29" s="32"/>
      <c r="U29" s="32"/>
    </row>
    <row r="30" spans="10:21" ht="12.75">
      <c r="J30" s="32"/>
      <c r="K30" s="32"/>
      <c r="L30" s="32"/>
      <c r="S30" s="32"/>
      <c r="T30" s="32"/>
      <c r="U30" s="32"/>
    </row>
    <row r="31" spans="10:21" ht="12.75">
      <c r="J31" s="154"/>
      <c r="K31" s="32" t="s">
        <v>487</v>
      </c>
      <c r="L31" s="32"/>
      <c r="S31" s="154"/>
      <c r="T31" s="32" t="s">
        <v>487</v>
      </c>
      <c r="U31" s="32"/>
    </row>
    <row r="32" spans="10:21" ht="12.75">
      <c r="J32" s="32"/>
      <c r="K32" s="32"/>
      <c r="L32" s="32"/>
      <c r="S32" s="32"/>
      <c r="T32" s="32"/>
      <c r="U32" s="32"/>
    </row>
    <row r="33" spans="10:21" ht="12.75">
      <c r="J33" s="32"/>
      <c r="K33" s="32"/>
      <c r="L33" s="32"/>
      <c r="S33" s="32"/>
      <c r="T33" s="32"/>
      <c r="U33" s="32"/>
    </row>
    <row r="34" spans="10:21" ht="12.75">
      <c r="J34" s="32"/>
      <c r="K34" s="32"/>
      <c r="L34" s="32"/>
      <c r="S34" s="32"/>
      <c r="T34" s="32"/>
      <c r="U34" s="32"/>
    </row>
    <row r="35" spans="10:21" ht="12.75">
      <c r="J35" s="32"/>
      <c r="K35" s="32"/>
      <c r="L35" s="32"/>
      <c r="S35" s="32"/>
      <c r="T35" s="32"/>
      <c r="U35" s="32"/>
    </row>
    <row r="36" spans="10:21" ht="12.75">
      <c r="J36" s="32"/>
      <c r="K36" s="32"/>
      <c r="L36" s="32"/>
      <c r="S36" s="32"/>
      <c r="T36" s="32"/>
      <c r="U36" s="32"/>
    </row>
    <row r="37" spans="10:21" ht="12.75">
      <c r="J37" s="32"/>
      <c r="K37" s="32"/>
      <c r="L37" s="32"/>
      <c r="S37" s="32"/>
      <c r="T37" s="32"/>
      <c r="U37" s="32"/>
    </row>
    <row r="38" spans="10:21" ht="12.75">
      <c r="J38" s="32"/>
      <c r="K38" s="32"/>
      <c r="L38" s="32"/>
      <c r="S38" s="32"/>
      <c r="T38" s="32"/>
      <c r="U38" s="32"/>
    </row>
    <row r="39" spans="10:21" ht="12.75">
      <c r="J39" s="32"/>
      <c r="K39" s="32"/>
      <c r="L39" s="32"/>
      <c r="S39" s="32"/>
      <c r="T39" s="32"/>
      <c r="U39" s="32"/>
    </row>
    <row r="40" spans="10:21" ht="12.75">
      <c r="J40" s="32"/>
      <c r="K40" s="32"/>
      <c r="L40" s="32"/>
      <c r="S40" s="32"/>
      <c r="T40" s="32"/>
      <c r="U40" s="32"/>
    </row>
    <row r="41" spans="10:21" ht="12.75">
      <c r="J41" s="32"/>
      <c r="K41" s="32"/>
      <c r="L41" s="32"/>
      <c r="S41" s="32"/>
      <c r="T41" s="32"/>
      <c r="U41" s="32"/>
    </row>
    <row r="42" spans="10:21" ht="12.75">
      <c r="J42" s="32"/>
      <c r="K42" s="32"/>
      <c r="L42" s="32"/>
      <c r="S42" s="32"/>
      <c r="T42" s="32"/>
      <c r="U42" s="32"/>
    </row>
    <row r="43" spans="10:21" ht="12.75">
      <c r="J43" s="32"/>
      <c r="K43" s="32"/>
      <c r="L43" s="32"/>
      <c r="S43" s="32"/>
      <c r="T43" s="32"/>
      <c r="U43" s="32"/>
    </row>
    <row r="44" spans="10:21" ht="12.75">
      <c r="J44" s="32"/>
      <c r="K44" s="32"/>
      <c r="L44" s="32"/>
      <c r="S44" s="32"/>
      <c r="T44" s="32"/>
      <c r="U44" s="32"/>
    </row>
    <row r="45" spans="10:21" ht="12.75">
      <c r="J45" s="32"/>
      <c r="K45" s="32"/>
      <c r="L45" s="32"/>
      <c r="S45" s="32"/>
      <c r="T45" s="32"/>
      <c r="U45" s="32"/>
    </row>
    <row r="55" spans="11:21" ht="12.75">
      <c r="K55" s="137"/>
      <c r="L55" s="138"/>
      <c r="T55" s="137"/>
      <c r="U55" s="138"/>
    </row>
    <row r="56" spans="11:21" ht="12.75">
      <c r="K56" s="139"/>
      <c r="L56" s="140"/>
      <c r="T56" s="139"/>
      <c r="U56" s="140"/>
    </row>
    <row r="57" spans="11:21" ht="12.75">
      <c r="K57" s="141"/>
      <c r="L57" s="142"/>
      <c r="T57" s="141"/>
      <c r="U57" s="142"/>
    </row>
  </sheetData>
  <sheetProtection selectLockedCells="1" selectUnlockedCells="1"/>
  <mergeCells count="17">
    <mergeCell ref="A1:V1"/>
    <mergeCell ref="A24:C24"/>
    <mergeCell ref="E8:I8"/>
    <mergeCell ref="J8:L8"/>
    <mergeCell ref="A7:A9"/>
    <mergeCell ref="B7:B9"/>
    <mergeCell ref="V7:V11"/>
    <mergeCell ref="M7:M9"/>
    <mergeCell ref="N7:U7"/>
    <mergeCell ref="A2:V2"/>
    <mergeCell ref="N8:R8"/>
    <mergeCell ref="S8:U8"/>
    <mergeCell ref="A3:V3"/>
    <mergeCell ref="A4:V4"/>
    <mergeCell ref="C7:C9"/>
    <mergeCell ref="D7:D9"/>
    <mergeCell ref="E7:L7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0"/>
  <sheetViews>
    <sheetView view="pageBreakPreview" zoomScale="71" zoomScaleNormal="71" zoomScaleSheetLayoutView="71" zoomScalePageLayoutView="0" workbookViewId="0" topLeftCell="A1">
      <pane xSplit="3" ySplit="9" topLeftCell="D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V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51.7109375" style="0" customWidth="1"/>
    <col min="4" max="4" width="16.8515625" style="0" customWidth="1"/>
    <col min="5" max="5" width="14.57421875" style="0" customWidth="1"/>
    <col min="6" max="6" width="15.421875" style="0" customWidth="1"/>
    <col min="7" max="7" width="18.28125" style="0" customWidth="1"/>
    <col min="8" max="8" width="14.57421875" style="0" customWidth="1"/>
    <col min="9" max="9" width="20.7109375" style="0" customWidth="1"/>
    <col min="10" max="12" width="14.57421875" style="0" customWidth="1"/>
    <col min="13" max="13" width="16.8515625" style="0" customWidth="1"/>
    <col min="14" max="14" width="14.57421875" style="0" customWidth="1"/>
    <col min="15" max="15" width="15.421875" style="0" customWidth="1"/>
    <col min="16" max="16" width="18.28125" style="0" customWidth="1"/>
    <col min="17" max="17" width="14.57421875" style="0" customWidth="1"/>
    <col min="18" max="18" width="20.7109375" style="0" customWidth="1"/>
    <col min="19" max="21" width="14.57421875" style="0" customWidth="1"/>
    <col min="22" max="22" width="15.421875" style="241" customWidth="1"/>
  </cols>
  <sheetData>
    <row r="1" spans="1:22" ht="18">
      <c r="A1" s="347" t="s">
        <v>1568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18">
      <c r="A2" s="358" t="s">
        <v>1543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22" ht="18" customHeight="1">
      <c r="A3" s="423" t="s">
        <v>698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ht="18" customHeight="1">
      <c r="A4" s="446" t="s">
        <v>699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</row>
    <row r="5" spans="1:22" ht="15">
      <c r="A5" s="3"/>
      <c r="B5" s="3"/>
      <c r="C5" s="3"/>
      <c r="D5" s="3"/>
      <c r="E5" s="3"/>
      <c r="F5" s="3"/>
      <c r="G5" s="3"/>
      <c r="H5" s="3"/>
      <c r="I5" s="3"/>
      <c r="J5" s="3"/>
      <c r="M5" s="3"/>
      <c r="N5" s="3"/>
      <c r="O5" s="3"/>
      <c r="P5" s="3"/>
      <c r="Q5" s="3"/>
      <c r="R5" s="3"/>
      <c r="S5" s="3"/>
      <c r="V5" s="314" t="s">
        <v>1</v>
      </c>
    </row>
    <row r="6" spans="1:23" ht="15" customHeight="1">
      <c r="A6" s="265" t="s">
        <v>2</v>
      </c>
      <c r="B6" s="265" t="s">
        <v>3</v>
      </c>
      <c r="C6" s="265" t="s">
        <v>4</v>
      </c>
      <c r="D6" s="265" t="s">
        <v>5</v>
      </c>
      <c r="E6" s="265" t="s">
        <v>6</v>
      </c>
      <c r="F6" s="265" t="s">
        <v>7</v>
      </c>
      <c r="G6" s="265" t="s">
        <v>8</v>
      </c>
      <c r="H6" s="265" t="s">
        <v>9</v>
      </c>
      <c r="I6" s="265" t="s">
        <v>10</v>
      </c>
      <c r="J6" s="266" t="s">
        <v>11</v>
      </c>
      <c r="K6" s="265" t="s">
        <v>12</v>
      </c>
      <c r="L6" s="267" t="s">
        <v>13</v>
      </c>
      <c r="M6" s="295" t="s">
        <v>14</v>
      </c>
      <c r="N6" s="265" t="s">
        <v>15</v>
      </c>
      <c r="O6" s="265" t="s">
        <v>16</v>
      </c>
      <c r="P6" s="265" t="s">
        <v>17</v>
      </c>
      <c r="Q6" s="265" t="s">
        <v>18</v>
      </c>
      <c r="R6" s="265" t="s">
        <v>19</v>
      </c>
      <c r="S6" s="266" t="s">
        <v>20</v>
      </c>
      <c r="T6" s="265" t="s">
        <v>21</v>
      </c>
      <c r="U6" s="267" t="s">
        <v>22</v>
      </c>
      <c r="V6" s="268" t="s">
        <v>181</v>
      </c>
      <c r="W6" s="244"/>
    </row>
    <row r="7" spans="1:22" ht="12.75" customHeight="1">
      <c r="A7" s="354" t="s">
        <v>24</v>
      </c>
      <c r="B7" s="354" t="s">
        <v>185</v>
      </c>
      <c r="C7" s="355" t="s">
        <v>25</v>
      </c>
      <c r="D7" s="355" t="s">
        <v>1099</v>
      </c>
      <c r="E7" s="403" t="s">
        <v>26</v>
      </c>
      <c r="F7" s="403"/>
      <c r="G7" s="403"/>
      <c r="H7" s="403"/>
      <c r="I7" s="403"/>
      <c r="J7" s="403"/>
      <c r="K7" s="403"/>
      <c r="L7" s="404"/>
      <c r="M7" s="355" t="s">
        <v>1526</v>
      </c>
      <c r="N7" s="403" t="s">
        <v>1525</v>
      </c>
      <c r="O7" s="403"/>
      <c r="P7" s="403"/>
      <c r="Q7" s="403"/>
      <c r="R7" s="403"/>
      <c r="S7" s="403"/>
      <c r="T7" s="403"/>
      <c r="U7" s="404"/>
      <c r="V7" s="444" t="s">
        <v>1234</v>
      </c>
    </row>
    <row r="8" spans="1:22" ht="12.75" customHeight="1">
      <c r="A8" s="354"/>
      <c r="B8" s="354"/>
      <c r="C8" s="355"/>
      <c r="D8" s="355"/>
      <c r="E8" s="351" t="s">
        <v>27</v>
      </c>
      <c r="F8" s="351"/>
      <c r="G8" s="351"/>
      <c r="H8" s="351"/>
      <c r="I8" s="351"/>
      <c r="J8" s="351" t="s">
        <v>28</v>
      </c>
      <c r="K8" s="351"/>
      <c r="L8" s="398"/>
      <c r="M8" s="355"/>
      <c r="N8" s="351" t="s">
        <v>27</v>
      </c>
      <c r="O8" s="351"/>
      <c r="P8" s="351"/>
      <c r="Q8" s="351"/>
      <c r="R8" s="351"/>
      <c r="S8" s="351" t="s">
        <v>28</v>
      </c>
      <c r="T8" s="351"/>
      <c r="U8" s="398"/>
      <c r="V8" s="444"/>
    </row>
    <row r="9" spans="1:22" ht="76.5">
      <c r="A9" s="354"/>
      <c r="B9" s="354"/>
      <c r="C9" s="355"/>
      <c r="D9" s="35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196" t="s">
        <v>36</v>
      </c>
      <c r="M9" s="35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196" t="s">
        <v>36</v>
      </c>
      <c r="V9" s="444"/>
    </row>
    <row r="10" spans="1:22" ht="18">
      <c r="A10" s="12" t="s">
        <v>152</v>
      </c>
      <c r="B10" s="12"/>
      <c r="C10" s="82" t="s">
        <v>40</v>
      </c>
      <c r="D10" s="24">
        <f aca="true" t="shared" si="0" ref="D10:D15">SUM(E10:L10)</f>
        <v>380470100</v>
      </c>
      <c r="E10" s="120">
        <f aca="true" t="shared" si="1" ref="E10:L10">SUM(E11:E30)</f>
        <v>0</v>
      </c>
      <c r="F10" s="120">
        <f t="shared" si="1"/>
        <v>0</v>
      </c>
      <c r="G10" s="120">
        <f t="shared" si="1"/>
        <v>380470100</v>
      </c>
      <c r="H10" s="120">
        <f t="shared" si="1"/>
        <v>0</v>
      </c>
      <c r="I10" s="120">
        <f t="shared" si="1"/>
        <v>0</v>
      </c>
      <c r="J10" s="120">
        <f t="shared" si="1"/>
        <v>0</v>
      </c>
      <c r="K10" s="120">
        <f t="shared" si="1"/>
        <v>0</v>
      </c>
      <c r="L10" s="127">
        <f t="shared" si="1"/>
        <v>0</v>
      </c>
      <c r="M10" s="24">
        <f aca="true" t="shared" si="2" ref="M10:M16">SUM(N10:U10)</f>
        <v>400470100</v>
      </c>
      <c r="N10" s="120">
        <f aca="true" t="shared" si="3" ref="N10:U10">SUM(N11:N30)</f>
        <v>0</v>
      </c>
      <c r="O10" s="120">
        <f t="shared" si="3"/>
        <v>0</v>
      </c>
      <c r="P10" s="120">
        <f>SUM(P11:P30)</f>
        <v>400470100</v>
      </c>
      <c r="Q10" s="120">
        <f t="shared" si="3"/>
        <v>0</v>
      </c>
      <c r="R10" s="120">
        <f t="shared" si="3"/>
        <v>0</v>
      </c>
      <c r="S10" s="120">
        <f t="shared" si="3"/>
        <v>0</v>
      </c>
      <c r="T10" s="120">
        <f t="shared" si="3"/>
        <v>0</v>
      </c>
      <c r="U10" s="127">
        <f t="shared" si="3"/>
        <v>0</v>
      </c>
      <c r="V10" s="444"/>
    </row>
    <row r="11" spans="1:22" ht="45">
      <c r="A11" s="12"/>
      <c r="B11" s="12" t="s">
        <v>700</v>
      </c>
      <c r="C11" s="19" t="s">
        <v>701</v>
      </c>
      <c r="D11" s="93">
        <f t="shared" si="0"/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197">
        <v>0</v>
      </c>
      <c r="M11" s="93">
        <f t="shared" si="2"/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197">
        <v>0</v>
      </c>
      <c r="V11" s="240" t="s">
        <v>1465</v>
      </c>
    </row>
    <row r="12" spans="1:22" ht="39" customHeight="1">
      <c r="A12" s="12"/>
      <c r="B12" s="12" t="s">
        <v>702</v>
      </c>
      <c r="C12" s="19" t="s">
        <v>703</v>
      </c>
      <c r="D12" s="93">
        <f t="shared" si="0"/>
        <v>253049207</v>
      </c>
      <c r="E12" s="94">
        <v>0</v>
      </c>
      <c r="F12" s="94">
        <v>0</v>
      </c>
      <c r="G12" s="94">
        <v>253049207</v>
      </c>
      <c r="H12" s="94">
        <v>0</v>
      </c>
      <c r="I12" s="94">
        <v>0</v>
      </c>
      <c r="J12" s="94">
        <v>0</v>
      </c>
      <c r="K12" s="94">
        <v>0</v>
      </c>
      <c r="L12" s="197">
        <v>0</v>
      </c>
      <c r="M12" s="93">
        <f t="shared" si="2"/>
        <v>273049207</v>
      </c>
      <c r="N12" s="94">
        <v>0</v>
      </c>
      <c r="O12" s="94">
        <v>0</v>
      </c>
      <c r="P12" s="94">
        <v>273049207</v>
      </c>
      <c r="Q12" s="94">
        <v>0</v>
      </c>
      <c r="R12" s="94">
        <v>0</v>
      </c>
      <c r="S12" s="94">
        <v>0</v>
      </c>
      <c r="T12" s="94">
        <v>0</v>
      </c>
      <c r="U12" s="197">
        <v>0</v>
      </c>
      <c r="V12" s="240" t="s">
        <v>1466</v>
      </c>
    </row>
    <row r="13" spans="1:22" ht="30">
      <c r="A13" s="12"/>
      <c r="B13" s="12" t="s">
        <v>704</v>
      </c>
      <c r="C13" s="19" t="s">
        <v>705</v>
      </c>
      <c r="D13" s="93">
        <f t="shared" si="0"/>
        <v>101757</v>
      </c>
      <c r="E13" s="94">
        <v>0</v>
      </c>
      <c r="F13" s="94">
        <v>0</v>
      </c>
      <c r="G13" s="94">
        <v>101757</v>
      </c>
      <c r="H13" s="94">
        <v>0</v>
      </c>
      <c r="I13" s="94">
        <v>0</v>
      </c>
      <c r="J13" s="94">
        <v>0</v>
      </c>
      <c r="K13" s="94">
        <v>0</v>
      </c>
      <c r="L13" s="197">
        <v>0</v>
      </c>
      <c r="M13" s="93">
        <f t="shared" si="2"/>
        <v>101757</v>
      </c>
      <c r="N13" s="94">
        <v>0</v>
      </c>
      <c r="O13" s="94">
        <v>0</v>
      </c>
      <c r="P13" s="94">
        <v>101757</v>
      </c>
      <c r="Q13" s="94">
        <v>0</v>
      </c>
      <c r="R13" s="94">
        <v>0</v>
      </c>
      <c r="S13" s="94">
        <v>0</v>
      </c>
      <c r="T13" s="94">
        <v>0</v>
      </c>
      <c r="U13" s="197">
        <v>0</v>
      </c>
      <c r="V13" s="240" t="s">
        <v>1467</v>
      </c>
    </row>
    <row r="14" spans="1:22" ht="30">
      <c r="A14" s="12"/>
      <c r="B14" s="12" t="s">
        <v>706</v>
      </c>
      <c r="C14" s="19" t="s">
        <v>707</v>
      </c>
      <c r="D14" s="93">
        <f t="shared" si="0"/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197">
        <v>0</v>
      </c>
      <c r="M14" s="93">
        <f t="shared" si="2"/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197">
        <v>0</v>
      </c>
      <c r="V14" s="240" t="s">
        <v>1468</v>
      </c>
    </row>
    <row r="15" spans="1:22" ht="27.75" customHeight="1">
      <c r="A15" s="12"/>
      <c r="B15" s="12" t="s">
        <v>708</v>
      </c>
      <c r="C15" s="19" t="s">
        <v>821</v>
      </c>
      <c r="D15" s="93">
        <f t="shared" si="0"/>
        <v>12197529</v>
      </c>
      <c r="E15" s="94">
        <v>0</v>
      </c>
      <c r="F15" s="94">
        <v>0</v>
      </c>
      <c r="G15" s="94">
        <v>12197529</v>
      </c>
      <c r="H15" s="94">
        <v>0</v>
      </c>
      <c r="I15" s="94">
        <v>0</v>
      </c>
      <c r="J15" s="94">
        <v>0</v>
      </c>
      <c r="K15" s="94">
        <v>0</v>
      </c>
      <c r="L15" s="197">
        <v>0</v>
      </c>
      <c r="M15" s="93">
        <f t="shared" si="2"/>
        <v>12197529</v>
      </c>
      <c r="N15" s="94">
        <v>0</v>
      </c>
      <c r="O15" s="94">
        <v>0</v>
      </c>
      <c r="P15" s="94">
        <v>12197529</v>
      </c>
      <c r="Q15" s="94">
        <v>0</v>
      </c>
      <c r="R15" s="94">
        <v>0</v>
      </c>
      <c r="S15" s="94">
        <v>0</v>
      </c>
      <c r="T15" s="94">
        <v>0</v>
      </c>
      <c r="U15" s="197">
        <v>0</v>
      </c>
      <c r="V15" s="240" t="s">
        <v>1469</v>
      </c>
    </row>
    <row r="16" spans="1:22" ht="30">
      <c r="A16" s="12"/>
      <c r="B16" s="12" t="s">
        <v>709</v>
      </c>
      <c r="C16" s="19" t="s">
        <v>712</v>
      </c>
      <c r="D16" s="93">
        <f aca="true" t="shared" si="4" ref="D16:D30">SUM(E16:L16)</f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97">
        <v>0</v>
      </c>
      <c r="M16" s="93">
        <f t="shared" si="2"/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197">
        <v>0</v>
      </c>
      <c r="V16" s="240" t="s">
        <v>1470</v>
      </c>
    </row>
    <row r="17" spans="1:22" ht="30">
      <c r="A17" s="12"/>
      <c r="B17" s="12" t="s">
        <v>711</v>
      </c>
      <c r="C17" s="19" t="s">
        <v>1233</v>
      </c>
      <c r="D17" s="93">
        <f>SUM(E17:L17)</f>
        <v>2000000</v>
      </c>
      <c r="E17" s="94">
        <v>0</v>
      </c>
      <c r="F17" s="94">
        <v>0</v>
      </c>
      <c r="G17" s="94">
        <v>2000000</v>
      </c>
      <c r="H17" s="94">
        <v>0</v>
      </c>
      <c r="I17" s="94">
        <v>0</v>
      </c>
      <c r="J17" s="94">
        <v>0</v>
      </c>
      <c r="K17" s="94">
        <v>0</v>
      </c>
      <c r="L17" s="197">
        <v>0</v>
      </c>
      <c r="M17" s="93">
        <f aca="true" t="shared" si="5" ref="M17:M33">SUM(N17:U17)</f>
        <v>2000000</v>
      </c>
      <c r="N17" s="94">
        <v>0</v>
      </c>
      <c r="O17" s="94">
        <v>0</v>
      </c>
      <c r="P17" s="94">
        <v>2000000</v>
      </c>
      <c r="Q17" s="94">
        <v>0</v>
      </c>
      <c r="R17" s="94">
        <v>0</v>
      </c>
      <c r="S17" s="94">
        <v>0</v>
      </c>
      <c r="T17" s="94">
        <v>0</v>
      </c>
      <c r="U17" s="197">
        <v>0</v>
      </c>
      <c r="V17" s="297">
        <v>58320</v>
      </c>
    </row>
    <row r="18" spans="1:22" ht="71.25" customHeight="1">
      <c r="A18" s="12"/>
      <c r="B18" s="12" t="s">
        <v>782</v>
      </c>
      <c r="C18" s="19" t="s">
        <v>824</v>
      </c>
      <c r="D18" s="93">
        <f>SUM(E18:L18)</f>
        <v>15790300</v>
      </c>
      <c r="E18" s="94">
        <v>0</v>
      </c>
      <c r="F18" s="94">
        <v>0</v>
      </c>
      <c r="G18" s="94">
        <v>15790300</v>
      </c>
      <c r="H18" s="94">
        <v>0</v>
      </c>
      <c r="I18" s="94">
        <v>0</v>
      </c>
      <c r="J18" s="94">
        <v>0</v>
      </c>
      <c r="K18" s="94">
        <v>0</v>
      </c>
      <c r="L18" s="197">
        <v>0</v>
      </c>
      <c r="M18" s="93">
        <f t="shared" si="5"/>
        <v>15790300</v>
      </c>
      <c r="N18" s="94">
        <v>0</v>
      </c>
      <c r="O18" s="94">
        <v>0</v>
      </c>
      <c r="P18" s="94">
        <v>15790300</v>
      </c>
      <c r="Q18" s="94">
        <v>0</v>
      </c>
      <c r="R18" s="94">
        <v>0</v>
      </c>
      <c r="S18" s="94">
        <v>0</v>
      </c>
      <c r="T18" s="94">
        <v>0</v>
      </c>
      <c r="U18" s="197">
        <v>0</v>
      </c>
      <c r="V18" s="240">
        <v>58307</v>
      </c>
    </row>
    <row r="19" spans="1:22" ht="45">
      <c r="A19" s="12"/>
      <c r="B19" s="12" t="s">
        <v>783</v>
      </c>
      <c r="C19" s="19" t="s">
        <v>789</v>
      </c>
      <c r="D19" s="93">
        <f t="shared" si="4"/>
        <v>2552541</v>
      </c>
      <c r="E19" s="94">
        <v>0</v>
      </c>
      <c r="F19" s="94">
        <v>0</v>
      </c>
      <c r="G19" s="94">
        <v>2552541</v>
      </c>
      <c r="H19" s="94">
        <v>0</v>
      </c>
      <c r="I19" s="94">
        <v>0</v>
      </c>
      <c r="J19" s="94">
        <v>0</v>
      </c>
      <c r="K19" s="94">
        <v>0</v>
      </c>
      <c r="L19" s="197">
        <v>0</v>
      </c>
      <c r="M19" s="93">
        <f t="shared" si="5"/>
        <v>2552541</v>
      </c>
      <c r="N19" s="94">
        <v>0</v>
      </c>
      <c r="O19" s="94">
        <v>0</v>
      </c>
      <c r="P19" s="94">
        <v>2552541</v>
      </c>
      <c r="Q19" s="94">
        <v>0</v>
      </c>
      <c r="R19" s="94">
        <v>0</v>
      </c>
      <c r="S19" s="94">
        <v>0</v>
      </c>
      <c r="T19" s="94">
        <v>0</v>
      </c>
      <c r="U19" s="197">
        <v>0</v>
      </c>
      <c r="V19" s="240">
        <v>58308</v>
      </c>
    </row>
    <row r="20" spans="1:22" ht="30">
      <c r="A20" s="12"/>
      <c r="B20" s="12" t="s">
        <v>784</v>
      </c>
      <c r="C20" s="19" t="s">
        <v>790</v>
      </c>
      <c r="D20" s="93">
        <f t="shared" si="4"/>
        <v>661166</v>
      </c>
      <c r="E20" s="94">
        <v>0</v>
      </c>
      <c r="F20" s="94">
        <v>0</v>
      </c>
      <c r="G20" s="94">
        <v>661166</v>
      </c>
      <c r="H20" s="94">
        <v>0</v>
      </c>
      <c r="I20" s="94">
        <v>0</v>
      </c>
      <c r="J20" s="94">
        <v>0</v>
      </c>
      <c r="K20" s="94">
        <v>0</v>
      </c>
      <c r="L20" s="197">
        <v>0</v>
      </c>
      <c r="M20" s="93">
        <f t="shared" si="5"/>
        <v>661166</v>
      </c>
      <c r="N20" s="94">
        <v>0</v>
      </c>
      <c r="O20" s="94">
        <v>0</v>
      </c>
      <c r="P20" s="94">
        <v>661166</v>
      </c>
      <c r="Q20" s="94">
        <v>0</v>
      </c>
      <c r="R20" s="94">
        <v>0</v>
      </c>
      <c r="S20" s="94">
        <v>0</v>
      </c>
      <c r="T20" s="94">
        <v>0</v>
      </c>
      <c r="U20" s="197">
        <v>0</v>
      </c>
      <c r="V20" s="240">
        <v>58309</v>
      </c>
    </row>
    <row r="21" spans="1:22" ht="30">
      <c r="A21" s="12"/>
      <c r="B21" s="12" t="s">
        <v>785</v>
      </c>
      <c r="C21" s="19" t="s">
        <v>791</v>
      </c>
      <c r="D21" s="93">
        <f t="shared" si="4"/>
        <v>580631</v>
      </c>
      <c r="E21" s="94">
        <v>0</v>
      </c>
      <c r="F21" s="94">
        <v>0</v>
      </c>
      <c r="G21" s="94">
        <v>580631</v>
      </c>
      <c r="H21" s="94">
        <v>0</v>
      </c>
      <c r="I21" s="94">
        <v>0</v>
      </c>
      <c r="J21" s="94">
        <v>0</v>
      </c>
      <c r="K21" s="94">
        <v>0</v>
      </c>
      <c r="L21" s="197">
        <v>0</v>
      </c>
      <c r="M21" s="93">
        <f t="shared" si="5"/>
        <v>580631</v>
      </c>
      <c r="N21" s="94">
        <v>0</v>
      </c>
      <c r="O21" s="94">
        <v>0</v>
      </c>
      <c r="P21" s="94">
        <v>580631</v>
      </c>
      <c r="Q21" s="94">
        <v>0</v>
      </c>
      <c r="R21" s="94">
        <v>0</v>
      </c>
      <c r="S21" s="94">
        <v>0</v>
      </c>
      <c r="T21" s="94">
        <v>0</v>
      </c>
      <c r="U21" s="197">
        <v>0</v>
      </c>
      <c r="V21" s="240">
        <v>58310</v>
      </c>
    </row>
    <row r="22" spans="1:22" ht="45" customHeight="1">
      <c r="A22" s="12"/>
      <c r="B22" s="12" t="s">
        <v>786</v>
      </c>
      <c r="C22" s="19" t="s">
        <v>792</v>
      </c>
      <c r="D22" s="93">
        <f t="shared" si="4"/>
        <v>8399765</v>
      </c>
      <c r="E22" s="94">
        <v>0</v>
      </c>
      <c r="F22" s="94">
        <v>0</v>
      </c>
      <c r="G22" s="94">
        <v>8399765</v>
      </c>
      <c r="H22" s="94">
        <v>0</v>
      </c>
      <c r="I22" s="94">
        <v>0</v>
      </c>
      <c r="J22" s="94">
        <v>0</v>
      </c>
      <c r="K22" s="94">
        <v>0</v>
      </c>
      <c r="L22" s="197">
        <v>0</v>
      </c>
      <c r="M22" s="93">
        <f t="shared" si="5"/>
        <v>8399765</v>
      </c>
      <c r="N22" s="94">
        <v>0</v>
      </c>
      <c r="O22" s="94">
        <v>0</v>
      </c>
      <c r="P22" s="94">
        <v>8399765</v>
      </c>
      <c r="Q22" s="94">
        <v>0</v>
      </c>
      <c r="R22" s="94">
        <v>0</v>
      </c>
      <c r="S22" s="94">
        <v>0</v>
      </c>
      <c r="T22" s="94">
        <v>0</v>
      </c>
      <c r="U22" s="197">
        <v>0</v>
      </c>
      <c r="V22" s="240">
        <v>58311</v>
      </c>
    </row>
    <row r="23" spans="1:22" ht="45" customHeight="1">
      <c r="A23" s="12"/>
      <c r="B23" s="12" t="s">
        <v>787</v>
      </c>
      <c r="C23" s="19" t="s">
        <v>793</v>
      </c>
      <c r="D23" s="93">
        <f t="shared" si="4"/>
        <v>19235935</v>
      </c>
      <c r="E23" s="94">
        <v>0</v>
      </c>
      <c r="F23" s="94">
        <v>0</v>
      </c>
      <c r="G23" s="94">
        <v>19235935</v>
      </c>
      <c r="H23" s="94">
        <v>0</v>
      </c>
      <c r="I23" s="94">
        <v>0</v>
      </c>
      <c r="J23" s="94">
        <v>0</v>
      </c>
      <c r="K23" s="94">
        <v>0</v>
      </c>
      <c r="L23" s="197">
        <v>0</v>
      </c>
      <c r="M23" s="93">
        <f t="shared" si="5"/>
        <v>19235935</v>
      </c>
      <c r="N23" s="94">
        <v>0</v>
      </c>
      <c r="O23" s="94">
        <v>0</v>
      </c>
      <c r="P23" s="94">
        <v>19235935</v>
      </c>
      <c r="Q23" s="94">
        <v>0</v>
      </c>
      <c r="R23" s="94">
        <v>0</v>
      </c>
      <c r="S23" s="94">
        <v>0</v>
      </c>
      <c r="T23" s="94">
        <v>0</v>
      </c>
      <c r="U23" s="197">
        <v>0</v>
      </c>
      <c r="V23" s="240">
        <v>58312</v>
      </c>
    </row>
    <row r="24" spans="1:22" ht="45" customHeight="1">
      <c r="A24" s="12"/>
      <c r="B24" s="12" t="s">
        <v>788</v>
      </c>
      <c r="C24" s="19" t="s">
        <v>794</v>
      </c>
      <c r="D24" s="93">
        <f t="shared" si="4"/>
        <v>12310117</v>
      </c>
      <c r="E24" s="94">
        <v>0</v>
      </c>
      <c r="F24" s="94">
        <v>0</v>
      </c>
      <c r="G24" s="94">
        <v>12310117</v>
      </c>
      <c r="H24" s="94">
        <v>0</v>
      </c>
      <c r="I24" s="94">
        <v>0</v>
      </c>
      <c r="J24" s="94">
        <v>0</v>
      </c>
      <c r="K24" s="94">
        <v>0</v>
      </c>
      <c r="L24" s="197">
        <v>0</v>
      </c>
      <c r="M24" s="93">
        <f t="shared" si="5"/>
        <v>12310117</v>
      </c>
      <c r="N24" s="94">
        <v>0</v>
      </c>
      <c r="O24" s="94">
        <v>0</v>
      </c>
      <c r="P24" s="94">
        <v>12310117</v>
      </c>
      <c r="Q24" s="94">
        <v>0</v>
      </c>
      <c r="R24" s="94">
        <v>0</v>
      </c>
      <c r="S24" s="94">
        <v>0</v>
      </c>
      <c r="T24" s="94">
        <v>0</v>
      </c>
      <c r="U24" s="197">
        <v>0</v>
      </c>
      <c r="V24" s="240">
        <v>58313</v>
      </c>
    </row>
    <row r="25" spans="1:22" ht="48" customHeight="1">
      <c r="A25" s="12"/>
      <c r="B25" s="12" t="s">
        <v>816</v>
      </c>
      <c r="C25" s="158" t="s">
        <v>948</v>
      </c>
      <c r="D25" s="93">
        <f>SUM(E25:L25)</f>
        <v>7843534</v>
      </c>
      <c r="E25" s="94">
        <v>0</v>
      </c>
      <c r="F25" s="94">
        <v>0</v>
      </c>
      <c r="G25" s="94">
        <v>7843534</v>
      </c>
      <c r="H25" s="94">
        <v>0</v>
      </c>
      <c r="I25" s="94">
        <v>0</v>
      </c>
      <c r="J25" s="94">
        <v>0</v>
      </c>
      <c r="K25" s="94">
        <v>0</v>
      </c>
      <c r="L25" s="197">
        <v>0</v>
      </c>
      <c r="M25" s="93">
        <f t="shared" si="5"/>
        <v>7843534</v>
      </c>
      <c r="N25" s="94">
        <v>0</v>
      </c>
      <c r="O25" s="94">
        <v>0</v>
      </c>
      <c r="P25" s="94">
        <v>7843534</v>
      </c>
      <c r="Q25" s="94">
        <v>0</v>
      </c>
      <c r="R25" s="94">
        <v>0</v>
      </c>
      <c r="S25" s="94">
        <v>0</v>
      </c>
      <c r="T25" s="94">
        <v>0</v>
      </c>
      <c r="U25" s="197">
        <v>0</v>
      </c>
      <c r="V25" s="240" t="s">
        <v>1471</v>
      </c>
    </row>
    <row r="26" spans="1:22" ht="35.25" customHeight="1">
      <c r="A26" s="12"/>
      <c r="B26" s="12" t="s">
        <v>822</v>
      </c>
      <c r="C26" s="19" t="s">
        <v>1509</v>
      </c>
      <c r="D26" s="93">
        <f>SUM(E26:L26)</f>
        <v>11003236</v>
      </c>
      <c r="E26" s="94">
        <v>0</v>
      </c>
      <c r="F26" s="94">
        <v>0</v>
      </c>
      <c r="G26" s="94">
        <v>11003236</v>
      </c>
      <c r="H26" s="94">
        <v>0</v>
      </c>
      <c r="I26" s="94">
        <v>0</v>
      </c>
      <c r="J26" s="94">
        <v>0</v>
      </c>
      <c r="K26" s="94">
        <v>0</v>
      </c>
      <c r="L26" s="197">
        <v>0</v>
      </c>
      <c r="M26" s="93">
        <f t="shared" si="5"/>
        <v>11003236</v>
      </c>
      <c r="N26" s="94">
        <v>0</v>
      </c>
      <c r="O26" s="94">
        <v>0</v>
      </c>
      <c r="P26" s="94">
        <v>11003236</v>
      </c>
      <c r="Q26" s="94">
        <v>0</v>
      </c>
      <c r="R26" s="94">
        <v>0</v>
      </c>
      <c r="S26" s="94">
        <v>0</v>
      </c>
      <c r="T26" s="94">
        <v>0</v>
      </c>
      <c r="U26" s="197">
        <v>0</v>
      </c>
      <c r="V26" s="240" t="s">
        <v>1472</v>
      </c>
    </row>
    <row r="27" spans="1:22" ht="35.25" customHeight="1">
      <c r="A27" s="12"/>
      <c r="B27" s="12" t="s">
        <v>823</v>
      </c>
      <c r="C27" s="19" t="s">
        <v>1510</v>
      </c>
      <c r="D27" s="93">
        <f>SUM(E27:L27)</f>
        <v>11158792</v>
      </c>
      <c r="E27" s="94">
        <v>0</v>
      </c>
      <c r="F27" s="94">
        <v>0</v>
      </c>
      <c r="G27" s="94">
        <v>11158792</v>
      </c>
      <c r="H27" s="94">
        <v>0</v>
      </c>
      <c r="I27" s="94">
        <v>0</v>
      </c>
      <c r="J27" s="94">
        <v>0</v>
      </c>
      <c r="K27" s="94">
        <v>0</v>
      </c>
      <c r="L27" s="197">
        <v>0</v>
      </c>
      <c r="M27" s="93">
        <f t="shared" si="5"/>
        <v>11158792</v>
      </c>
      <c r="N27" s="94">
        <v>0</v>
      </c>
      <c r="O27" s="94">
        <v>0</v>
      </c>
      <c r="P27" s="94">
        <v>11158792</v>
      </c>
      <c r="Q27" s="94">
        <v>0</v>
      </c>
      <c r="R27" s="94">
        <v>0</v>
      </c>
      <c r="S27" s="94">
        <v>0</v>
      </c>
      <c r="T27" s="94">
        <v>0</v>
      </c>
      <c r="U27" s="197">
        <v>0</v>
      </c>
      <c r="V27" s="240" t="s">
        <v>1473</v>
      </c>
    </row>
    <row r="28" spans="1:22" ht="18">
      <c r="A28" s="12"/>
      <c r="B28" s="12" t="s">
        <v>889</v>
      </c>
      <c r="C28" s="19" t="s">
        <v>892</v>
      </c>
      <c r="D28" s="93">
        <f>SUM(E28:L28)</f>
        <v>1000000</v>
      </c>
      <c r="E28" s="94">
        <v>0</v>
      </c>
      <c r="F28" s="94">
        <v>0</v>
      </c>
      <c r="G28" s="94">
        <v>1000000</v>
      </c>
      <c r="H28" s="94">
        <v>0</v>
      </c>
      <c r="I28" s="94">
        <v>0</v>
      </c>
      <c r="J28" s="94">
        <v>0</v>
      </c>
      <c r="K28" s="94">
        <v>0</v>
      </c>
      <c r="L28" s="197">
        <v>0</v>
      </c>
      <c r="M28" s="93">
        <f t="shared" si="5"/>
        <v>1000000</v>
      </c>
      <c r="N28" s="94">
        <v>0</v>
      </c>
      <c r="O28" s="94">
        <v>0</v>
      </c>
      <c r="P28" s="94">
        <v>1000000</v>
      </c>
      <c r="Q28" s="94">
        <v>0</v>
      </c>
      <c r="R28" s="94">
        <v>0</v>
      </c>
      <c r="S28" s="94">
        <v>0</v>
      </c>
      <c r="T28" s="94">
        <v>0</v>
      </c>
      <c r="U28" s="197">
        <v>0</v>
      </c>
      <c r="V28" s="240" t="s">
        <v>1474</v>
      </c>
    </row>
    <row r="29" spans="1:22" ht="45">
      <c r="A29" s="12"/>
      <c r="B29" s="12" t="s">
        <v>1097</v>
      </c>
      <c r="C29" s="19" t="s">
        <v>1096</v>
      </c>
      <c r="D29" s="93">
        <f>SUM(E29:L29)</f>
        <v>44450</v>
      </c>
      <c r="E29" s="94">
        <v>0</v>
      </c>
      <c r="F29" s="94">
        <v>0</v>
      </c>
      <c r="G29" s="94">
        <v>44450</v>
      </c>
      <c r="H29" s="94">
        <v>0</v>
      </c>
      <c r="I29" s="94">
        <v>0</v>
      </c>
      <c r="J29" s="94">
        <v>0</v>
      </c>
      <c r="K29" s="94">
        <v>0</v>
      </c>
      <c r="L29" s="197">
        <v>0</v>
      </c>
      <c r="M29" s="93">
        <f t="shared" si="5"/>
        <v>44450</v>
      </c>
      <c r="N29" s="94">
        <v>0</v>
      </c>
      <c r="O29" s="94">
        <v>0</v>
      </c>
      <c r="P29" s="94">
        <v>44450</v>
      </c>
      <c r="Q29" s="94">
        <v>0</v>
      </c>
      <c r="R29" s="94">
        <v>0</v>
      </c>
      <c r="S29" s="94">
        <v>0</v>
      </c>
      <c r="T29" s="94">
        <v>0</v>
      </c>
      <c r="U29" s="197">
        <v>0</v>
      </c>
      <c r="V29" s="240" t="s">
        <v>1475</v>
      </c>
    </row>
    <row r="30" spans="1:22" ht="18">
      <c r="A30" s="12"/>
      <c r="B30" s="12" t="s">
        <v>1172</v>
      </c>
      <c r="C30" s="19" t="s">
        <v>710</v>
      </c>
      <c r="D30" s="93">
        <f t="shared" si="4"/>
        <v>22541140</v>
      </c>
      <c r="E30" s="94">
        <v>0</v>
      </c>
      <c r="F30" s="94">
        <v>0</v>
      </c>
      <c r="G30" s="94">
        <v>22541140</v>
      </c>
      <c r="H30" s="94">
        <v>0</v>
      </c>
      <c r="I30" s="94">
        <v>0</v>
      </c>
      <c r="J30" s="94">
        <v>0</v>
      </c>
      <c r="K30" s="94">
        <v>0</v>
      </c>
      <c r="L30" s="197">
        <v>0</v>
      </c>
      <c r="M30" s="93">
        <f t="shared" si="5"/>
        <v>22541140</v>
      </c>
      <c r="N30" s="94">
        <v>0</v>
      </c>
      <c r="O30" s="94">
        <v>0</v>
      </c>
      <c r="P30" s="94">
        <v>22541140</v>
      </c>
      <c r="Q30" s="94">
        <v>0</v>
      </c>
      <c r="R30" s="94">
        <v>0</v>
      </c>
      <c r="S30" s="94">
        <v>0</v>
      </c>
      <c r="T30" s="94">
        <v>0</v>
      </c>
      <c r="U30" s="197">
        <v>0</v>
      </c>
      <c r="V30" s="309">
        <v>58318</v>
      </c>
    </row>
    <row r="31" spans="1:21" ht="18">
      <c r="A31" s="12" t="s">
        <v>153</v>
      </c>
      <c r="B31" s="12"/>
      <c r="C31" s="82" t="s">
        <v>42</v>
      </c>
      <c r="D31" s="24">
        <f>SUM(E31:L31)</f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7">
        <v>0</v>
      </c>
      <c r="M31" s="24">
        <f t="shared" si="5"/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7">
        <v>0</v>
      </c>
    </row>
    <row r="32" spans="1:21" ht="18">
      <c r="A32" s="12" t="s">
        <v>154</v>
      </c>
      <c r="B32" s="12"/>
      <c r="C32" s="82" t="s">
        <v>44</v>
      </c>
      <c r="D32" s="24">
        <f>SUM(E32:L32)</f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3">
        <v>0</v>
      </c>
      <c r="M32" s="24">
        <f t="shared" si="5"/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3">
        <v>0</v>
      </c>
    </row>
    <row r="33" spans="1:21" ht="33" customHeight="1">
      <c r="A33" s="402" t="s">
        <v>315</v>
      </c>
      <c r="B33" s="402"/>
      <c r="C33" s="402"/>
      <c r="D33" s="24">
        <f>SUM(E33:L33)</f>
        <v>380470100</v>
      </c>
      <c r="E33" s="120">
        <f aca="true" t="shared" si="6" ref="E33:L33">E10+E31+E32</f>
        <v>0</v>
      </c>
      <c r="F33" s="120">
        <f t="shared" si="6"/>
        <v>0</v>
      </c>
      <c r="G33" s="120">
        <f t="shared" si="6"/>
        <v>380470100</v>
      </c>
      <c r="H33" s="120">
        <f t="shared" si="6"/>
        <v>0</v>
      </c>
      <c r="I33" s="120">
        <f t="shared" si="6"/>
        <v>0</v>
      </c>
      <c r="J33" s="120">
        <f t="shared" si="6"/>
        <v>0</v>
      </c>
      <c r="K33" s="120">
        <f t="shared" si="6"/>
        <v>0</v>
      </c>
      <c r="L33" s="127">
        <f t="shared" si="6"/>
        <v>0</v>
      </c>
      <c r="M33" s="24">
        <f t="shared" si="5"/>
        <v>400470100</v>
      </c>
      <c r="N33" s="120">
        <f aca="true" t="shared" si="7" ref="N33:U33">N10+N31+N32</f>
        <v>0</v>
      </c>
      <c r="O33" s="120">
        <f t="shared" si="7"/>
        <v>0</v>
      </c>
      <c r="P33" s="120">
        <f t="shared" si="7"/>
        <v>400470100</v>
      </c>
      <c r="Q33" s="120">
        <f t="shared" si="7"/>
        <v>0</v>
      </c>
      <c r="R33" s="120">
        <f t="shared" si="7"/>
        <v>0</v>
      </c>
      <c r="S33" s="120">
        <f t="shared" si="7"/>
        <v>0</v>
      </c>
      <c r="T33" s="120">
        <f t="shared" si="7"/>
        <v>0</v>
      </c>
      <c r="U33" s="127">
        <f t="shared" si="7"/>
        <v>0</v>
      </c>
    </row>
    <row r="34" s="151" customFormat="1" ht="15">
      <c r="V34" s="245"/>
    </row>
    <row r="35" s="151" customFormat="1" ht="15">
      <c r="V35" s="245"/>
    </row>
    <row r="36" spans="10:22" s="151" customFormat="1" ht="15">
      <c r="J36" s="157"/>
      <c r="K36" s="157"/>
      <c r="L36" s="157"/>
      <c r="S36" s="157"/>
      <c r="T36" s="157"/>
      <c r="U36" s="157"/>
      <c r="V36" s="245"/>
    </row>
    <row r="37" spans="10:22" s="151" customFormat="1" ht="15">
      <c r="J37" s="157"/>
      <c r="K37" s="157"/>
      <c r="L37" s="157"/>
      <c r="S37" s="157"/>
      <c r="T37" s="157"/>
      <c r="U37" s="157"/>
      <c r="V37" s="245"/>
    </row>
    <row r="38" spans="10:22" s="151" customFormat="1" ht="15">
      <c r="J38" s="157"/>
      <c r="K38" s="157"/>
      <c r="L38" s="157"/>
      <c r="S38" s="157"/>
      <c r="T38" s="157"/>
      <c r="U38" s="157"/>
      <c r="V38" s="245"/>
    </row>
    <row r="39" spans="10:21" ht="15">
      <c r="J39" s="32"/>
      <c r="K39" s="32"/>
      <c r="L39" s="32"/>
      <c r="S39" s="32"/>
      <c r="T39" s="32"/>
      <c r="U39" s="32"/>
    </row>
    <row r="40" spans="10:21" ht="15">
      <c r="J40" s="32"/>
      <c r="K40" s="32" t="s">
        <v>487</v>
      </c>
      <c r="L40" s="32"/>
      <c r="S40" s="32"/>
      <c r="T40" s="32" t="s">
        <v>487</v>
      </c>
      <c r="U40" s="32"/>
    </row>
  </sheetData>
  <sheetProtection selectLockedCells="1" selectUnlockedCells="1"/>
  <mergeCells count="17">
    <mergeCell ref="A1:V1"/>
    <mergeCell ref="V7:V10"/>
    <mergeCell ref="A33:C33"/>
    <mergeCell ref="B7:B9"/>
    <mergeCell ref="E7:L7"/>
    <mergeCell ref="C7:C9"/>
    <mergeCell ref="D7:D9"/>
    <mergeCell ref="A4:V4"/>
    <mergeCell ref="A3:V3"/>
    <mergeCell ref="A2:V2"/>
    <mergeCell ref="E8:I8"/>
    <mergeCell ref="A7:A9"/>
    <mergeCell ref="J8:L8"/>
    <mergeCell ref="M7:M9"/>
    <mergeCell ref="N7:U7"/>
    <mergeCell ref="N8:R8"/>
    <mergeCell ref="S8:U8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Z25"/>
  <sheetViews>
    <sheetView view="pageBreakPreview" zoomScale="74" zoomScaleNormal="74" zoomScaleSheetLayoutView="74" zoomScalePageLayoutView="0" workbookViewId="0" topLeftCell="A1">
      <selection activeCell="A1" sqref="A1:Y1"/>
    </sheetView>
  </sheetViews>
  <sheetFormatPr defaultColWidth="9.140625" defaultRowHeight="12.75" customHeight="1"/>
  <cols>
    <col min="1" max="1" width="4.57421875" style="35" customWidth="1"/>
    <col min="2" max="2" width="5.57421875" style="35" customWidth="1"/>
    <col min="3" max="3" width="14.28125" style="35" customWidth="1"/>
    <col min="4" max="4" width="13.57421875" style="35" customWidth="1"/>
    <col min="5" max="5" width="15.28125" style="35" customWidth="1"/>
    <col min="6" max="6" width="11.57421875" style="35" customWidth="1"/>
    <col min="7" max="7" width="6.140625" style="35" customWidth="1"/>
    <col min="8" max="8" width="16.00390625" style="35" customWidth="1"/>
    <col min="9" max="9" width="13.00390625" style="35" customWidth="1"/>
    <col min="10" max="10" width="14.00390625" style="35" customWidth="1"/>
    <col min="11" max="12" width="12.421875" style="35" customWidth="1"/>
    <col min="13" max="13" width="16.8515625" style="35" customWidth="1"/>
    <col min="14" max="14" width="14.421875" style="35" customWidth="1"/>
    <col min="15" max="15" width="13.57421875" style="35" customWidth="1"/>
    <col min="16" max="16" width="16.421875" style="35" customWidth="1"/>
    <col min="17" max="17" width="15.7109375" style="35" customWidth="1"/>
    <col min="18" max="22" width="9.140625" style="35" customWidth="1"/>
    <col min="23" max="23" width="21.140625" style="35" customWidth="1"/>
    <col min="24" max="24" width="17.57421875" style="35" customWidth="1"/>
    <col min="25" max="25" width="21.28125" style="35" customWidth="1"/>
    <col min="26" max="130" width="9.140625" style="35" customWidth="1"/>
    <col min="131" max="156" width="9.140625" style="36" customWidth="1"/>
  </cols>
  <sheetData>
    <row r="1" spans="1:182" ht="17.25" customHeight="1">
      <c r="A1" s="347" t="s">
        <v>1554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T1" s="37"/>
      <c r="EU1" s="37"/>
      <c r="EV1" s="37"/>
      <c r="EW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</row>
    <row r="2" spans="1:182" ht="20.25" customHeight="1">
      <c r="A2" s="358" t="s">
        <v>1528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T2" s="37"/>
      <c r="EU2" s="37"/>
      <c r="EV2" s="37"/>
      <c r="EW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</row>
    <row r="3" spans="1:182" ht="13.5" customHeight="1">
      <c r="A3" s="358" t="s">
        <v>950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T3" s="37"/>
      <c r="EU3" s="37"/>
      <c r="EV3" s="37"/>
      <c r="EW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</row>
    <row r="4" spans="1:182" ht="20.25" customHeight="1">
      <c r="A4" s="369" t="s">
        <v>179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T4" s="37"/>
      <c r="EU4" s="37"/>
      <c r="EV4" s="37"/>
      <c r="EW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</row>
    <row r="5" spans="1:25" s="37" customFormat="1" ht="20.25" customHeight="1">
      <c r="A5" s="370" t="s">
        <v>180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</row>
    <row r="6" spans="3:25" s="37" customFormat="1" ht="13.5" customHeight="1"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  <c r="Y6" s="342" t="s">
        <v>1</v>
      </c>
    </row>
    <row r="7" spans="1:156" ht="12.75" customHeight="1">
      <c r="A7" s="41" t="s">
        <v>2</v>
      </c>
      <c r="B7" s="41" t="s">
        <v>3</v>
      </c>
      <c r="C7" s="41" t="s">
        <v>4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1" t="s">
        <v>11</v>
      </c>
      <c r="K7" s="41" t="s">
        <v>12</v>
      </c>
      <c r="L7" s="41" t="s">
        <v>13</v>
      </c>
      <c r="M7" s="41" t="s">
        <v>14</v>
      </c>
      <c r="N7" s="41" t="s">
        <v>15</v>
      </c>
      <c r="O7" s="41" t="s">
        <v>16</v>
      </c>
      <c r="P7" s="41" t="s">
        <v>17</v>
      </c>
      <c r="Q7" s="41" t="s">
        <v>18</v>
      </c>
      <c r="R7" s="41" t="s">
        <v>19</v>
      </c>
      <c r="S7" s="41" t="s">
        <v>20</v>
      </c>
      <c r="T7" s="41" t="s">
        <v>21</v>
      </c>
      <c r="U7" s="41" t="s">
        <v>22</v>
      </c>
      <c r="V7" s="41" t="s">
        <v>181</v>
      </c>
      <c r="W7" s="41" t="s">
        <v>182</v>
      </c>
      <c r="X7" s="41" t="s">
        <v>183</v>
      </c>
      <c r="Y7" s="41" t="s">
        <v>184</v>
      </c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156" ht="12.75" customHeight="1">
      <c r="A8" s="367" t="s">
        <v>185</v>
      </c>
      <c r="B8" s="367" t="s">
        <v>186</v>
      </c>
      <c r="C8" s="364" t="s">
        <v>1091</v>
      </c>
      <c r="D8" s="364" t="s">
        <v>187</v>
      </c>
      <c r="E8" s="364" t="s">
        <v>188</v>
      </c>
      <c r="F8" s="364" t="s">
        <v>189</v>
      </c>
      <c r="G8" s="365" t="s">
        <v>190</v>
      </c>
      <c r="H8" s="364" t="s">
        <v>191</v>
      </c>
      <c r="I8" s="364" t="s">
        <v>192</v>
      </c>
      <c r="J8" s="368" t="s">
        <v>26</v>
      </c>
      <c r="K8" s="368"/>
      <c r="L8" s="368"/>
      <c r="M8" s="368"/>
      <c r="N8" s="368"/>
      <c r="O8" s="368"/>
      <c r="P8" s="368"/>
      <c r="Q8" s="368"/>
      <c r="R8" s="368" t="s">
        <v>1525</v>
      </c>
      <c r="S8" s="368"/>
      <c r="T8" s="368"/>
      <c r="U8" s="368"/>
      <c r="V8" s="368"/>
      <c r="W8" s="368"/>
      <c r="X8" s="368"/>
      <c r="Y8" s="368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</row>
    <row r="9" spans="1:156" ht="66" customHeight="1">
      <c r="A9" s="367"/>
      <c r="B9" s="367"/>
      <c r="C9" s="364"/>
      <c r="D9" s="364"/>
      <c r="E9" s="364"/>
      <c r="F9" s="364"/>
      <c r="G9" s="365"/>
      <c r="H9" s="364"/>
      <c r="I9" s="364"/>
      <c r="J9" s="364" t="s">
        <v>1100</v>
      </c>
      <c r="K9" s="364"/>
      <c r="L9" s="364"/>
      <c r="M9" s="364"/>
      <c r="N9" s="364"/>
      <c r="O9" s="364" t="s">
        <v>193</v>
      </c>
      <c r="P9" s="364" t="s">
        <v>194</v>
      </c>
      <c r="Q9" s="364" t="s">
        <v>195</v>
      </c>
      <c r="R9" s="364" t="s">
        <v>1100</v>
      </c>
      <c r="S9" s="364"/>
      <c r="T9" s="364"/>
      <c r="U9" s="364"/>
      <c r="V9" s="364"/>
      <c r="W9" s="364" t="s">
        <v>193</v>
      </c>
      <c r="X9" s="364" t="s">
        <v>194</v>
      </c>
      <c r="Y9" s="364" t="s">
        <v>195</v>
      </c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25" s="44" customFormat="1" ht="24.75" customHeight="1">
      <c r="A10" s="367"/>
      <c r="B10" s="367"/>
      <c r="C10" s="364"/>
      <c r="D10" s="364"/>
      <c r="E10" s="364"/>
      <c r="F10" s="364"/>
      <c r="G10" s="365"/>
      <c r="H10" s="364"/>
      <c r="I10" s="364"/>
      <c r="J10" s="43" t="s">
        <v>196</v>
      </c>
      <c r="K10" s="43" t="s">
        <v>197</v>
      </c>
      <c r="L10" s="43" t="s">
        <v>198</v>
      </c>
      <c r="M10" s="42" t="s">
        <v>199</v>
      </c>
      <c r="N10" s="42" t="s">
        <v>200</v>
      </c>
      <c r="O10" s="364"/>
      <c r="P10" s="364"/>
      <c r="Q10" s="364"/>
      <c r="R10" s="43" t="s">
        <v>196</v>
      </c>
      <c r="S10" s="43" t="s">
        <v>197</v>
      </c>
      <c r="T10" s="43" t="s">
        <v>198</v>
      </c>
      <c r="U10" s="42" t="s">
        <v>199</v>
      </c>
      <c r="V10" s="42" t="s">
        <v>200</v>
      </c>
      <c r="W10" s="364"/>
      <c r="X10" s="364"/>
      <c r="Y10" s="364"/>
    </row>
    <row r="11" spans="1:156" ht="15" customHeight="1">
      <c r="A11" s="45" t="s">
        <v>39</v>
      </c>
      <c r="B11" s="46"/>
      <c r="C11" s="363" t="s">
        <v>201</v>
      </c>
      <c r="D11" s="363"/>
      <c r="E11" s="363"/>
      <c r="F11" s="47"/>
      <c r="G11" s="48"/>
      <c r="H11" s="49">
        <f>SUM(H12:H15)</f>
        <v>50500000000</v>
      </c>
      <c r="I11" s="49"/>
      <c r="J11" s="49">
        <f>SUM(J12:J15)</f>
        <v>0</v>
      </c>
      <c r="K11" s="49">
        <f aca="true" t="shared" si="0" ref="K11:Q11">SUM(K12:K15)</f>
        <v>0</v>
      </c>
      <c r="L11" s="49">
        <f t="shared" si="0"/>
        <v>0</v>
      </c>
      <c r="M11" s="49">
        <f t="shared" si="0"/>
        <v>0</v>
      </c>
      <c r="N11" s="49">
        <f t="shared" si="0"/>
        <v>0</v>
      </c>
      <c r="O11" s="49">
        <f t="shared" si="0"/>
        <v>246281250</v>
      </c>
      <c r="P11" s="49">
        <f t="shared" si="0"/>
        <v>0</v>
      </c>
      <c r="Q11" s="49">
        <f t="shared" si="0"/>
        <v>246281250</v>
      </c>
      <c r="R11" s="49">
        <f>SUM(R12:R15)</f>
        <v>0</v>
      </c>
      <c r="S11" s="49">
        <f aca="true" t="shared" si="1" ref="S11:Y11">SUM(S12:S15)</f>
        <v>0</v>
      </c>
      <c r="T11" s="49">
        <f t="shared" si="1"/>
        <v>0</v>
      </c>
      <c r="U11" s="49">
        <f t="shared" si="1"/>
        <v>0</v>
      </c>
      <c r="V11" s="49">
        <f t="shared" si="1"/>
        <v>0</v>
      </c>
      <c r="W11" s="49">
        <f t="shared" si="1"/>
        <v>246281250</v>
      </c>
      <c r="X11" s="49">
        <f t="shared" si="1"/>
        <v>0</v>
      </c>
      <c r="Y11" s="49">
        <f t="shared" si="1"/>
        <v>246281250</v>
      </c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25" s="44" customFormat="1" ht="38.25" customHeight="1">
      <c r="A12" s="50"/>
      <c r="B12" s="50" t="s">
        <v>817</v>
      </c>
      <c r="C12" s="51" t="s">
        <v>203</v>
      </c>
      <c r="D12" s="52" t="s">
        <v>204</v>
      </c>
      <c r="E12" s="52">
        <v>42633</v>
      </c>
      <c r="F12" s="52">
        <v>44276</v>
      </c>
      <c r="G12" s="53" t="s">
        <v>202</v>
      </c>
      <c r="H12" s="54">
        <v>1000000000</v>
      </c>
      <c r="I12" s="55"/>
      <c r="J12" s="56">
        <v>0</v>
      </c>
      <c r="K12" s="54">
        <f>J12</f>
        <v>0</v>
      </c>
      <c r="L12" s="54">
        <f>K12</f>
        <v>0</v>
      </c>
      <c r="M12" s="54">
        <v>0</v>
      </c>
      <c r="N12" s="57">
        <f>SUM(J12:M12)</f>
        <v>0</v>
      </c>
      <c r="O12" s="56">
        <v>15000000</v>
      </c>
      <c r="P12" s="56">
        <v>0</v>
      </c>
      <c r="Q12" s="58">
        <f>SUM(N12:P12)</f>
        <v>15000000</v>
      </c>
      <c r="R12" s="56">
        <v>0</v>
      </c>
      <c r="S12" s="54">
        <f>R12</f>
        <v>0</v>
      </c>
      <c r="T12" s="54">
        <f>S12</f>
        <v>0</v>
      </c>
      <c r="U12" s="54">
        <v>0</v>
      </c>
      <c r="V12" s="57">
        <f>SUM(R12:U12)</f>
        <v>0</v>
      </c>
      <c r="W12" s="56">
        <v>15000000</v>
      </c>
      <c r="X12" s="56">
        <v>0</v>
      </c>
      <c r="Y12" s="58">
        <f>SUM(V12:X12)</f>
        <v>15000000</v>
      </c>
    </row>
    <row r="13" spans="1:25" s="44" customFormat="1" ht="38.25" customHeight="1">
      <c r="A13" s="50"/>
      <c r="B13" s="50" t="s">
        <v>933</v>
      </c>
      <c r="C13" s="51" t="s">
        <v>818</v>
      </c>
      <c r="D13" s="52" t="s">
        <v>204</v>
      </c>
      <c r="E13" s="52">
        <v>42887</v>
      </c>
      <c r="F13" s="52">
        <v>47116</v>
      </c>
      <c r="G13" s="53" t="s">
        <v>202</v>
      </c>
      <c r="H13" s="54">
        <v>3000000000</v>
      </c>
      <c r="I13" s="55"/>
      <c r="J13" s="56">
        <v>0</v>
      </c>
      <c r="K13" s="54">
        <v>0</v>
      </c>
      <c r="L13" s="54">
        <v>0</v>
      </c>
      <c r="M13" s="54">
        <v>0</v>
      </c>
      <c r="N13" s="57">
        <f>SUM(J13:M13)</f>
        <v>0</v>
      </c>
      <c r="O13" s="56">
        <v>36000000</v>
      </c>
      <c r="P13" s="56">
        <v>0</v>
      </c>
      <c r="Q13" s="58">
        <f>SUM(N13:P13)</f>
        <v>36000000</v>
      </c>
      <c r="R13" s="56">
        <v>0</v>
      </c>
      <c r="S13" s="54">
        <v>0</v>
      </c>
      <c r="T13" s="54">
        <v>0</v>
      </c>
      <c r="U13" s="54">
        <v>0</v>
      </c>
      <c r="V13" s="57">
        <f>SUM(R13:U13)</f>
        <v>0</v>
      </c>
      <c r="W13" s="56">
        <v>36000000</v>
      </c>
      <c r="X13" s="56">
        <v>0</v>
      </c>
      <c r="Y13" s="58">
        <f>SUM(V13:X13)</f>
        <v>36000000</v>
      </c>
    </row>
    <row r="14" spans="1:25" s="44" customFormat="1" ht="38.25" customHeight="1">
      <c r="A14" s="50"/>
      <c r="B14" s="50" t="s">
        <v>935</v>
      </c>
      <c r="C14" s="51" t="s">
        <v>1092</v>
      </c>
      <c r="D14" s="52" t="s">
        <v>204</v>
      </c>
      <c r="E14" s="52">
        <v>43277</v>
      </c>
      <c r="F14" s="52">
        <v>47848</v>
      </c>
      <c r="G14" s="53" t="s">
        <v>202</v>
      </c>
      <c r="H14" s="54">
        <v>2500000000</v>
      </c>
      <c r="I14" s="55"/>
      <c r="J14" s="56">
        <v>0</v>
      </c>
      <c r="K14" s="54">
        <v>0</v>
      </c>
      <c r="L14" s="54">
        <v>0</v>
      </c>
      <c r="M14" s="54">
        <v>0</v>
      </c>
      <c r="N14" s="57">
        <v>0</v>
      </c>
      <c r="O14" s="56">
        <v>75281250</v>
      </c>
      <c r="P14" s="56"/>
      <c r="Q14" s="58">
        <f>SUM(N14:P14)</f>
        <v>75281250</v>
      </c>
      <c r="R14" s="56">
        <v>0</v>
      </c>
      <c r="S14" s="54">
        <v>0</v>
      </c>
      <c r="T14" s="54">
        <v>0</v>
      </c>
      <c r="U14" s="54">
        <v>0</v>
      </c>
      <c r="V14" s="57">
        <v>0</v>
      </c>
      <c r="W14" s="56">
        <v>75281250</v>
      </c>
      <c r="X14" s="56"/>
      <c r="Y14" s="58">
        <f>SUM(V14:X14)</f>
        <v>75281250</v>
      </c>
    </row>
    <row r="15" spans="1:25" s="44" customFormat="1" ht="38.25" customHeight="1">
      <c r="A15" s="50"/>
      <c r="B15" s="50" t="s">
        <v>1090</v>
      </c>
      <c r="C15" s="51" t="s">
        <v>1114</v>
      </c>
      <c r="D15" s="52" t="s">
        <v>1115</v>
      </c>
      <c r="E15" s="52">
        <v>43363</v>
      </c>
      <c r="F15" s="52">
        <v>45289</v>
      </c>
      <c r="G15" s="53" t="s">
        <v>202</v>
      </c>
      <c r="H15" s="54">
        <v>44000000000</v>
      </c>
      <c r="I15" s="55"/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77">
        <v>120000000</v>
      </c>
      <c r="P15" s="56">
        <v>0</v>
      </c>
      <c r="Q15" s="58">
        <f>SUM(N15:P15)</f>
        <v>120000000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77">
        <v>120000000</v>
      </c>
      <c r="X15" s="56">
        <v>0</v>
      </c>
      <c r="Y15" s="58">
        <f>SUM(V15:X15)</f>
        <v>120000000</v>
      </c>
    </row>
    <row r="16" spans="1:156" ht="15" customHeight="1">
      <c r="A16" s="45" t="s">
        <v>41</v>
      </c>
      <c r="B16" s="45"/>
      <c r="C16" s="363" t="s">
        <v>205</v>
      </c>
      <c r="D16" s="363"/>
      <c r="E16" s="363"/>
      <c r="F16" s="47"/>
      <c r="G16" s="48"/>
      <c r="H16" s="58">
        <f>SUM(H17:H18)</f>
        <v>2800000000</v>
      </c>
      <c r="I16" s="58"/>
      <c r="J16" s="58">
        <f aca="true" t="shared" si="2" ref="J16:Y16">SUM(J17:J17)</f>
        <v>0</v>
      </c>
      <c r="K16" s="58">
        <f t="shared" si="2"/>
        <v>0</v>
      </c>
      <c r="L16" s="58">
        <f t="shared" si="2"/>
        <v>0</v>
      </c>
      <c r="M16" s="58">
        <f t="shared" si="2"/>
        <v>0</v>
      </c>
      <c r="N16" s="58">
        <f t="shared" si="2"/>
        <v>0</v>
      </c>
      <c r="O16" s="58">
        <f t="shared" si="2"/>
        <v>9000000</v>
      </c>
      <c r="P16" s="58">
        <f t="shared" si="2"/>
        <v>5000000</v>
      </c>
      <c r="Q16" s="58">
        <f t="shared" si="2"/>
        <v>14000000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si="2"/>
        <v>0</v>
      </c>
      <c r="V16" s="58">
        <f t="shared" si="2"/>
        <v>0</v>
      </c>
      <c r="W16" s="58">
        <f t="shared" si="2"/>
        <v>9000000</v>
      </c>
      <c r="X16" s="58">
        <f t="shared" si="2"/>
        <v>5000000</v>
      </c>
      <c r="Y16" s="58">
        <f t="shared" si="2"/>
        <v>14000000</v>
      </c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</row>
    <row r="17" spans="1:25" s="44" customFormat="1" ht="41.25" customHeight="1">
      <c r="A17" s="50"/>
      <c r="B17" s="50" t="s">
        <v>206</v>
      </c>
      <c r="C17" s="59" t="s">
        <v>207</v>
      </c>
      <c r="D17" s="51" t="s">
        <v>204</v>
      </c>
      <c r="E17" s="60">
        <v>43446</v>
      </c>
      <c r="F17" s="52">
        <v>43830</v>
      </c>
      <c r="G17" s="53" t="s">
        <v>202</v>
      </c>
      <c r="H17" s="54">
        <v>2500000000</v>
      </c>
      <c r="I17" s="54"/>
      <c r="J17" s="54">
        <v>0</v>
      </c>
      <c r="K17" s="54">
        <v>0</v>
      </c>
      <c r="L17" s="54">
        <v>0</v>
      </c>
      <c r="M17" s="54">
        <v>0</v>
      </c>
      <c r="N17" s="61">
        <v>0</v>
      </c>
      <c r="O17" s="62">
        <v>9000000</v>
      </c>
      <c r="P17" s="62">
        <v>5000000</v>
      </c>
      <c r="Q17" s="63">
        <f>N17+O17+P17</f>
        <v>14000000</v>
      </c>
      <c r="R17" s="54">
        <v>0</v>
      </c>
      <c r="S17" s="54">
        <v>0</v>
      </c>
      <c r="T17" s="54">
        <v>0</v>
      </c>
      <c r="U17" s="54">
        <v>0</v>
      </c>
      <c r="V17" s="61">
        <v>0</v>
      </c>
      <c r="W17" s="62">
        <v>9000000</v>
      </c>
      <c r="X17" s="62">
        <v>5000000</v>
      </c>
      <c r="Y17" s="63">
        <f>V17+W17+X17</f>
        <v>14000000</v>
      </c>
    </row>
    <row r="18" spans="1:25" s="44" customFormat="1" ht="45" customHeight="1">
      <c r="A18" s="50"/>
      <c r="B18" s="50" t="s">
        <v>208</v>
      </c>
      <c r="C18" s="59" t="s">
        <v>209</v>
      </c>
      <c r="D18" s="51" t="s">
        <v>204</v>
      </c>
      <c r="E18" s="60">
        <v>43446</v>
      </c>
      <c r="F18" s="52">
        <v>43819</v>
      </c>
      <c r="G18" s="53" t="s">
        <v>202</v>
      </c>
      <c r="H18" s="54">
        <v>300000000</v>
      </c>
      <c r="I18" s="54"/>
      <c r="J18" s="54">
        <v>0</v>
      </c>
      <c r="K18" s="54">
        <v>0</v>
      </c>
      <c r="L18" s="54">
        <v>0</v>
      </c>
      <c r="M18" s="54">
        <v>0</v>
      </c>
      <c r="N18" s="61">
        <v>0</v>
      </c>
      <c r="O18" s="62">
        <v>0</v>
      </c>
      <c r="P18" s="62">
        <v>0</v>
      </c>
      <c r="Q18" s="63">
        <f>N18+O18+P18</f>
        <v>0</v>
      </c>
      <c r="R18" s="54">
        <v>0</v>
      </c>
      <c r="S18" s="54">
        <v>0</v>
      </c>
      <c r="T18" s="54">
        <v>0</v>
      </c>
      <c r="U18" s="54">
        <v>0</v>
      </c>
      <c r="V18" s="61">
        <v>0</v>
      </c>
      <c r="W18" s="62">
        <v>0</v>
      </c>
      <c r="X18" s="62">
        <v>0</v>
      </c>
      <c r="Y18" s="63">
        <f>V18+W18+X18</f>
        <v>0</v>
      </c>
    </row>
    <row r="19" spans="1:156" ht="38.25" customHeight="1">
      <c r="A19" s="366" t="s">
        <v>210</v>
      </c>
      <c r="B19" s="366"/>
      <c r="C19" s="366"/>
      <c r="D19" s="366"/>
      <c r="E19" s="366"/>
      <c r="F19" s="366"/>
      <c r="G19" s="64"/>
      <c r="H19" s="63"/>
      <c r="I19" s="63"/>
      <c r="J19" s="63">
        <f aca="true" t="shared" si="3" ref="J19:P19">J11+J16</f>
        <v>0</v>
      </c>
      <c r="K19" s="63">
        <f t="shared" si="3"/>
        <v>0</v>
      </c>
      <c r="L19" s="63">
        <f t="shared" si="3"/>
        <v>0</v>
      </c>
      <c r="M19" s="63">
        <f t="shared" si="3"/>
        <v>0</v>
      </c>
      <c r="N19" s="63">
        <f t="shared" si="3"/>
        <v>0</v>
      </c>
      <c r="O19" s="63">
        <f t="shared" si="3"/>
        <v>255281250</v>
      </c>
      <c r="P19" s="63">
        <f t="shared" si="3"/>
        <v>5000000</v>
      </c>
      <c r="Q19" s="63">
        <f>Q11+Q16</f>
        <v>260281250</v>
      </c>
      <c r="R19" s="63">
        <f aca="true" t="shared" si="4" ref="R19:X19">R11+R16</f>
        <v>0</v>
      </c>
      <c r="S19" s="63">
        <f t="shared" si="4"/>
        <v>0</v>
      </c>
      <c r="T19" s="63">
        <f t="shared" si="4"/>
        <v>0</v>
      </c>
      <c r="U19" s="63">
        <f t="shared" si="4"/>
        <v>0</v>
      </c>
      <c r="V19" s="63">
        <f t="shared" si="4"/>
        <v>0</v>
      </c>
      <c r="W19" s="63">
        <f t="shared" si="4"/>
        <v>255281250</v>
      </c>
      <c r="X19" s="63">
        <f t="shared" si="4"/>
        <v>5000000</v>
      </c>
      <c r="Y19" s="63">
        <f>Y11+Y16</f>
        <v>260281250</v>
      </c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</row>
    <row r="21" spans="1:17" ht="12.75" customHeight="1">
      <c r="A21" s="362" t="s">
        <v>952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</row>
    <row r="23" ht="12.75" customHeight="1">
      <c r="Q23" s="148"/>
    </row>
    <row r="24" ht="12.75" customHeight="1">
      <c r="Q24" s="148"/>
    </row>
    <row r="25" ht="12.75" customHeight="1">
      <c r="Q25" s="148"/>
    </row>
  </sheetData>
  <sheetProtection selectLockedCells="1" selectUnlockedCells="1"/>
  <mergeCells count="28">
    <mergeCell ref="C11:E11"/>
    <mergeCell ref="Q9:Q10"/>
    <mergeCell ref="I8:I10"/>
    <mergeCell ref="P9:P10"/>
    <mergeCell ref="A3:Y3"/>
    <mergeCell ref="A4:Y4"/>
    <mergeCell ref="A5:Y5"/>
    <mergeCell ref="O9:O10"/>
    <mergeCell ref="E8:E10"/>
    <mergeCell ref="J8:Q8"/>
    <mergeCell ref="R8:Y8"/>
    <mergeCell ref="R9:V9"/>
    <mergeCell ref="W9:W10"/>
    <mergeCell ref="X9:X10"/>
    <mergeCell ref="Y9:Y10"/>
    <mergeCell ref="A1:Y1"/>
    <mergeCell ref="A2:Y2"/>
    <mergeCell ref="B8:B10"/>
    <mergeCell ref="A21:Q21"/>
    <mergeCell ref="C16:E16"/>
    <mergeCell ref="F8:F10"/>
    <mergeCell ref="G8:G10"/>
    <mergeCell ref="D8:D10"/>
    <mergeCell ref="A19:F19"/>
    <mergeCell ref="C8:C10"/>
    <mergeCell ref="J9:N9"/>
    <mergeCell ref="A8:A10"/>
    <mergeCell ref="H8:H10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3"/>
  <sheetViews>
    <sheetView view="pageBreakPreview" zoomScale="60" zoomScaleNormal="73" zoomScalePageLayoutView="0" workbookViewId="0" topLeftCell="A1">
      <selection activeCell="A1" sqref="A1:V1"/>
    </sheetView>
  </sheetViews>
  <sheetFormatPr defaultColWidth="9.140625" defaultRowHeight="12.75"/>
  <cols>
    <col min="1" max="1" width="6.57421875" style="0" customWidth="1"/>
    <col min="3" max="3" width="76.28125" style="0" customWidth="1"/>
    <col min="4" max="4" width="22.421875" style="0" customWidth="1"/>
    <col min="5" max="5" width="19.28125" style="0" bestFit="1" customWidth="1"/>
    <col min="6" max="6" width="16.421875" style="0" customWidth="1"/>
    <col min="7" max="7" width="21.140625" style="0" customWidth="1"/>
    <col min="8" max="9" width="14.57421875" style="0" customWidth="1"/>
    <col min="10" max="10" width="22.140625" style="0" customWidth="1"/>
    <col min="11" max="11" width="20.28125" style="0" customWidth="1"/>
    <col min="12" max="12" width="16.140625" style="0" customWidth="1"/>
    <col min="13" max="13" width="22.421875" style="0" customWidth="1"/>
    <col min="14" max="14" width="19.28125" style="0" bestFit="1" customWidth="1"/>
    <col min="15" max="15" width="16.421875" style="0" customWidth="1"/>
    <col min="16" max="16" width="21.140625" style="0" customWidth="1"/>
    <col min="17" max="18" width="14.57421875" style="0" customWidth="1"/>
    <col min="19" max="19" width="22.140625" style="0" customWidth="1"/>
    <col min="20" max="20" width="20.28125" style="0" customWidth="1"/>
    <col min="21" max="21" width="16.140625" style="0" customWidth="1"/>
    <col min="22" max="22" width="16.57421875" style="243" customWidth="1"/>
  </cols>
  <sheetData>
    <row r="1" spans="1:22" ht="25.5" customHeight="1">
      <c r="A1" s="347" t="s">
        <v>1569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25.5" customHeight="1">
      <c r="A2" s="358" t="s">
        <v>1544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22" ht="18" customHeight="1">
      <c r="A3" s="423" t="s">
        <v>713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ht="18">
      <c r="A4" s="424" t="s">
        <v>714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</row>
    <row r="5" spans="1:22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3"/>
      <c r="N5" s="3"/>
      <c r="O5" s="3"/>
      <c r="P5" s="3"/>
      <c r="Q5" s="3"/>
      <c r="R5" s="3"/>
      <c r="S5" s="3"/>
      <c r="T5" s="3"/>
      <c r="V5" s="310" t="s">
        <v>1</v>
      </c>
    </row>
    <row r="6" spans="1:22" ht="14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122" t="s">
        <v>11</v>
      </c>
      <c r="K6" s="200" t="s">
        <v>12</v>
      </c>
      <c r="L6" s="4" t="s">
        <v>13</v>
      </c>
      <c r="M6" s="295" t="s">
        <v>14</v>
      </c>
      <c r="N6" s="265" t="s">
        <v>15</v>
      </c>
      <c r="O6" s="265" t="s">
        <v>16</v>
      </c>
      <c r="P6" s="265" t="s">
        <v>17</v>
      </c>
      <c r="Q6" s="265" t="s">
        <v>18</v>
      </c>
      <c r="R6" s="265" t="s">
        <v>19</v>
      </c>
      <c r="S6" s="266" t="s">
        <v>20</v>
      </c>
      <c r="T6" s="265" t="s">
        <v>21</v>
      </c>
      <c r="U6" s="267" t="s">
        <v>22</v>
      </c>
      <c r="V6" s="5" t="s">
        <v>181</v>
      </c>
    </row>
    <row r="7" spans="1:22" ht="12.75" customHeight="1">
      <c r="A7" s="354" t="s">
        <v>24</v>
      </c>
      <c r="B7" s="354" t="s">
        <v>185</v>
      </c>
      <c r="C7" s="355" t="s">
        <v>25</v>
      </c>
      <c r="D7" s="355" t="s">
        <v>1099</v>
      </c>
      <c r="E7" s="403" t="s">
        <v>26</v>
      </c>
      <c r="F7" s="403"/>
      <c r="G7" s="403"/>
      <c r="H7" s="403"/>
      <c r="I7" s="403"/>
      <c r="J7" s="403"/>
      <c r="K7" s="403"/>
      <c r="L7" s="404"/>
      <c r="M7" s="355" t="s">
        <v>1526</v>
      </c>
      <c r="N7" s="403" t="s">
        <v>1525</v>
      </c>
      <c r="O7" s="403"/>
      <c r="P7" s="403"/>
      <c r="Q7" s="403"/>
      <c r="R7" s="403"/>
      <c r="S7" s="403"/>
      <c r="T7" s="403"/>
      <c r="U7" s="404"/>
      <c r="V7" s="444" t="s">
        <v>1234</v>
      </c>
    </row>
    <row r="8" spans="1:22" ht="12.75" customHeight="1">
      <c r="A8" s="354"/>
      <c r="B8" s="354"/>
      <c r="C8" s="355"/>
      <c r="D8" s="355"/>
      <c r="E8" s="351" t="s">
        <v>27</v>
      </c>
      <c r="F8" s="351"/>
      <c r="G8" s="351"/>
      <c r="H8" s="351"/>
      <c r="I8" s="351"/>
      <c r="J8" s="351" t="s">
        <v>28</v>
      </c>
      <c r="K8" s="351"/>
      <c r="L8" s="398"/>
      <c r="M8" s="355"/>
      <c r="N8" s="351" t="s">
        <v>27</v>
      </c>
      <c r="O8" s="351"/>
      <c r="P8" s="351"/>
      <c r="Q8" s="351"/>
      <c r="R8" s="351"/>
      <c r="S8" s="351" t="s">
        <v>28</v>
      </c>
      <c r="T8" s="351"/>
      <c r="U8" s="398"/>
      <c r="V8" s="444"/>
    </row>
    <row r="9" spans="1:22" ht="90" customHeight="1">
      <c r="A9" s="354"/>
      <c r="B9" s="354"/>
      <c r="C9" s="355"/>
      <c r="D9" s="35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196" t="s">
        <v>36</v>
      </c>
      <c r="M9" s="35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196" t="s">
        <v>36</v>
      </c>
      <c r="V9" s="444"/>
    </row>
    <row r="10" spans="1:22" ht="18">
      <c r="A10" s="12" t="s">
        <v>157</v>
      </c>
      <c r="B10" s="12"/>
      <c r="C10" s="143" t="s">
        <v>40</v>
      </c>
      <c r="D10" s="24">
        <f>SUM(E10:L10)</f>
        <v>17146657728</v>
      </c>
      <c r="E10" s="120">
        <f aca="true" t="shared" si="0" ref="E10:L10">SUM(E11:E29)</f>
        <v>0</v>
      </c>
      <c r="F10" s="120">
        <f t="shared" si="0"/>
        <v>0</v>
      </c>
      <c r="G10" s="120">
        <f t="shared" si="0"/>
        <v>598869372</v>
      </c>
      <c r="H10" s="120">
        <f t="shared" si="0"/>
        <v>0</v>
      </c>
      <c r="I10" s="120">
        <f t="shared" si="0"/>
        <v>0</v>
      </c>
      <c r="J10" s="120">
        <f t="shared" si="0"/>
        <v>16526169964</v>
      </c>
      <c r="K10" s="120">
        <f t="shared" si="0"/>
        <v>21618392</v>
      </c>
      <c r="L10" s="127">
        <f t="shared" si="0"/>
        <v>0</v>
      </c>
      <c r="M10" s="24">
        <f>SUM(N10:U10)</f>
        <v>17146657728</v>
      </c>
      <c r="N10" s="120">
        <f aca="true" t="shared" si="1" ref="N10:U10">SUM(N11:N29)</f>
        <v>0</v>
      </c>
      <c r="O10" s="120">
        <f t="shared" si="1"/>
        <v>0</v>
      </c>
      <c r="P10" s="120">
        <f t="shared" si="1"/>
        <v>598869372</v>
      </c>
      <c r="Q10" s="120">
        <f t="shared" si="1"/>
        <v>0</v>
      </c>
      <c r="R10" s="120">
        <f t="shared" si="1"/>
        <v>0</v>
      </c>
      <c r="S10" s="120">
        <f t="shared" si="1"/>
        <v>16526169964</v>
      </c>
      <c r="T10" s="120">
        <f t="shared" si="1"/>
        <v>21618392</v>
      </c>
      <c r="U10" s="127">
        <f t="shared" si="1"/>
        <v>0</v>
      </c>
      <c r="V10" s="444"/>
    </row>
    <row r="11" spans="1:22" ht="18">
      <c r="A11" s="12"/>
      <c r="B11" s="12" t="s">
        <v>715</v>
      </c>
      <c r="C11" s="144" t="s">
        <v>716</v>
      </c>
      <c r="D11" s="93">
        <f>SUM(E11:L11)</f>
        <v>139538775</v>
      </c>
      <c r="E11" s="94">
        <v>0</v>
      </c>
      <c r="F11" s="94">
        <v>0</v>
      </c>
      <c r="G11" s="94">
        <v>139538775</v>
      </c>
      <c r="H11" s="94">
        <v>0</v>
      </c>
      <c r="I11" s="94">
        <v>0</v>
      </c>
      <c r="J11" s="94">
        <v>0</v>
      </c>
      <c r="K11" s="94">
        <v>0</v>
      </c>
      <c r="L11" s="197">
        <v>0</v>
      </c>
      <c r="M11" s="93">
        <f>SUM(N11:U11)</f>
        <v>139538775</v>
      </c>
      <c r="N11" s="94">
        <v>0</v>
      </c>
      <c r="O11" s="94">
        <v>0</v>
      </c>
      <c r="P11" s="94">
        <v>139538775</v>
      </c>
      <c r="Q11" s="94">
        <v>0</v>
      </c>
      <c r="R11" s="94">
        <v>0</v>
      </c>
      <c r="S11" s="94">
        <v>0</v>
      </c>
      <c r="T11" s="94">
        <v>0</v>
      </c>
      <c r="U11" s="197">
        <v>0</v>
      </c>
      <c r="V11" s="260" t="s">
        <v>1476</v>
      </c>
    </row>
    <row r="12" spans="1:22" ht="18">
      <c r="A12" s="12"/>
      <c r="B12" s="12" t="s">
        <v>717</v>
      </c>
      <c r="C12" s="144" t="s">
        <v>718</v>
      </c>
      <c r="D12" s="93">
        <f>SUM(E12:L12)</f>
        <v>30770945</v>
      </c>
      <c r="E12" s="94">
        <v>0</v>
      </c>
      <c r="F12" s="94">
        <v>0</v>
      </c>
      <c r="G12" s="94">
        <v>30770945</v>
      </c>
      <c r="H12" s="94">
        <v>0</v>
      </c>
      <c r="I12" s="94">
        <v>0</v>
      </c>
      <c r="J12" s="94">
        <v>0</v>
      </c>
      <c r="K12" s="94">
        <v>0</v>
      </c>
      <c r="L12" s="197">
        <v>0</v>
      </c>
      <c r="M12" s="93">
        <f>SUM(N12:U12)</f>
        <v>30770945</v>
      </c>
      <c r="N12" s="94">
        <v>0</v>
      </c>
      <c r="O12" s="94">
        <v>0</v>
      </c>
      <c r="P12" s="94">
        <v>30770945</v>
      </c>
      <c r="Q12" s="94">
        <v>0</v>
      </c>
      <c r="R12" s="94">
        <v>0</v>
      </c>
      <c r="S12" s="94">
        <v>0</v>
      </c>
      <c r="T12" s="94">
        <v>0</v>
      </c>
      <c r="U12" s="197">
        <v>0</v>
      </c>
      <c r="V12" s="260" t="s">
        <v>1477</v>
      </c>
    </row>
    <row r="13" spans="1:22" ht="18">
      <c r="A13" s="12"/>
      <c r="B13" s="12" t="s">
        <v>719</v>
      </c>
      <c r="C13" s="144" t="s">
        <v>720</v>
      </c>
      <c r="D13" s="93">
        <f>SUM(E13:L13)</f>
        <v>49265678</v>
      </c>
      <c r="E13" s="94">
        <v>0</v>
      </c>
      <c r="F13" s="94">
        <v>0</v>
      </c>
      <c r="G13" s="94">
        <v>49265678</v>
      </c>
      <c r="H13" s="94">
        <v>0</v>
      </c>
      <c r="I13" s="94">
        <v>0</v>
      </c>
      <c r="J13" s="94">
        <v>0</v>
      </c>
      <c r="K13" s="94">
        <v>0</v>
      </c>
      <c r="L13" s="197">
        <v>0</v>
      </c>
      <c r="M13" s="93">
        <f>SUM(N13:U13)</f>
        <v>49265678</v>
      </c>
      <c r="N13" s="94">
        <v>0</v>
      </c>
      <c r="O13" s="94">
        <v>0</v>
      </c>
      <c r="P13" s="94">
        <v>49265678</v>
      </c>
      <c r="Q13" s="94">
        <v>0</v>
      </c>
      <c r="R13" s="94">
        <v>0</v>
      </c>
      <c r="S13" s="94">
        <v>0</v>
      </c>
      <c r="T13" s="94">
        <v>0</v>
      </c>
      <c r="U13" s="197">
        <v>0</v>
      </c>
      <c r="V13" s="260" t="s">
        <v>1478</v>
      </c>
    </row>
    <row r="14" spans="1:22" ht="18">
      <c r="A14" s="12"/>
      <c r="B14" s="12" t="s">
        <v>721</v>
      </c>
      <c r="C14" s="144" t="s">
        <v>722</v>
      </c>
      <c r="D14" s="93">
        <f aca="true" t="shared" si="2" ref="D14:D31">SUM(E14:L14)</f>
        <v>5221210</v>
      </c>
      <c r="E14" s="94">
        <v>0</v>
      </c>
      <c r="F14" s="94">
        <v>0</v>
      </c>
      <c r="G14" s="94">
        <v>5221210</v>
      </c>
      <c r="H14" s="94">
        <v>0</v>
      </c>
      <c r="I14" s="94">
        <v>0</v>
      </c>
      <c r="J14" s="94">
        <v>0</v>
      </c>
      <c r="K14" s="94">
        <v>0</v>
      </c>
      <c r="L14" s="197">
        <v>0</v>
      </c>
      <c r="M14" s="93">
        <f aca="true" t="shared" si="3" ref="M14:M27">SUM(N14:U14)</f>
        <v>5221210</v>
      </c>
      <c r="N14" s="94">
        <v>0</v>
      </c>
      <c r="O14" s="94">
        <v>0</v>
      </c>
      <c r="P14" s="94">
        <v>5221210</v>
      </c>
      <c r="Q14" s="94">
        <v>0</v>
      </c>
      <c r="R14" s="94">
        <v>0</v>
      </c>
      <c r="S14" s="94">
        <v>0</v>
      </c>
      <c r="T14" s="94">
        <v>0</v>
      </c>
      <c r="U14" s="197">
        <v>0</v>
      </c>
      <c r="V14" s="260" t="s">
        <v>1479</v>
      </c>
    </row>
    <row r="15" spans="1:22" ht="18">
      <c r="A15" s="12"/>
      <c r="B15" s="12" t="s">
        <v>723</v>
      </c>
      <c r="C15" s="144" t="s">
        <v>724</v>
      </c>
      <c r="D15" s="93">
        <f t="shared" si="2"/>
        <v>100001949</v>
      </c>
      <c r="E15" s="94">
        <v>0</v>
      </c>
      <c r="F15" s="94">
        <v>0</v>
      </c>
      <c r="G15" s="94">
        <v>100001949</v>
      </c>
      <c r="H15" s="94">
        <v>0</v>
      </c>
      <c r="I15" s="94">
        <v>0</v>
      </c>
      <c r="J15" s="94">
        <v>0</v>
      </c>
      <c r="K15" s="94">
        <v>0</v>
      </c>
      <c r="L15" s="197">
        <v>0</v>
      </c>
      <c r="M15" s="93">
        <f t="shared" si="3"/>
        <v>100001949</v>
      </c>
      <c r="N15" s="94">
        <v>0</v>
      </c>
      <c r="O15" s="94">
        <v>0</v>
      </c>
      <c r="P15" s="94">
        <v>100001949</v>
      </c>
      <c r="Q15" s="94">
        <v>0</v>
      </c>
      <c r="R15" s="94">
        <v>0</v>
      </c>
      <c r="S15" s="94">
        <v>0</v>
      </c>
      <c r="T15" s="94">
        <v>0</v>
      </c>
      <c r="U15" s="197">
        <v>0</v>
      </c>
      <c r="V15" s="260" t="s">
        <v>1480</v>
      </c>
    </row>
    <row r="16" spans="1:22" ht="18">
      <c r="A16" s="12"/>
      <c r="B16" s="12" t="s">
        <v>725</v>
      </c>
      <c r="C16" s="144" t="s">
        <v>726</v>
      </c>
      <c r="D16" s="93">
        <f t="shared" si="2"/>
        <v>114500000</v>
      </c>
      <c r="E16" s="94">
        <v>0</v>
      </c>
      <c r="F16" s="94">
        <v>0</v>
      </c>
      <c r="G16" s="94">
        <v>114500000</v>
      </c>
      <c r="H16" s="94">
        <v>0</v>
      </c>
      <c r="I16" s="94">
        <v>0</v>
      </c>
      <c r="J16" s="94">
        <v>0</v>
      </c>
      <c r="K16" s="94">
        <v>0</v>
      </c>
      <c r="L16" s="197">
        <v>0</v>
      </c>
      <c r="M16" s="93">
        <f t="shared" si="3"/>
        <v>114500000</v>
      </c>
      <c r="N16" s="94">
        <v>0</v>
      </c>
      <c r="O16" s="94">
        <v>0</v>
      </c>
      <c r="P16" s="94">
        <v>114500000</v>
      </c>
      <c r="Q16" s="94">
        <v>0</v>
      </c>
      <c r="R16" s="94">
        <v>0</v>
      </c>
      <c r="S16" s="94">
        <v>0</v>
      </c>
      <c r="T16" s="94">
        <v>0</v>
      </c>
      <c r="U16" s="197">
        <v>0</v>
      </c>
      <c r="V16" s="260" t="s">
        <v>1481</v>
      </c>
    </row>
    <row r="17" spans="1:22" ht="18">
      <c r="A17" s="12"/>
      <c r="B17" s="12" t="s">
        <v>727</v>
      </c>
      <c r="C17" s="144" t="s">
        <v>728</v>
      </c>
      <c r="D17" s="93">
        <f t="shared" si="2"/>
        <v>38039882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38039882</v>
      </c>
      <c r="K17" s="94">
        <v>0</v>
      </c>
      <c r="L17" s="197">
        <v>0</v>
      </c>
      <c r="M17" s="93">
        <f t="shared" si="3"/>
        <v>38039882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38039882</v>
      </c>
      <c r="T17" s="94">
        <v>0</v>
      </c>
      <c r="U17" s="197">
        <v>0</v>
      </c>
      <c r="V17" s="260" t="s">
        <v>1482</v>
      </c>
    </row>
    <row r="18" spans="1:22" ht="18">
      <c r="A18" s="12"/>
      <c r="B18" s="12" t="s">
        <v>1206</v>
      </c>
      <c r="C18" s="144" t="s">
        <v>729</v>
      </c>
      <c r="D18" s="93">
        <f t="shared" si="2"/>
        <v>1375892626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1375892626</v>
      </c>
      <c r="K18" s="94">
        <v>0</v>
      </c>
      <c r="L18" s="197">
        <v>0</v>
      </c>
      <c r="M18" s="93">
        <f t="shared" si="3"/>
        <v>1375892626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1375892626</v>
      </c>
      <c r="T18" s="94">
        <v>0</v>
      </c>
      <c r="U18" s="197">
        <v>0</v>
      </c>
      <c r="V18" s="260" t="s">
        <v>1483</v>
      </c>
    </row>
    <row r="19" spans="1:22" ht="30">
      <c r="A19" s="12"/>
      <c r="B19" s="12" t="s">
        <v>730</v>
      </c>
      <c r="C19" s="144" t="s">
        <v>731</v>
      </c>
      <c r="D19" s="93">
        <f t="shared" si="2"/>
        <v>50000000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50000000</v>
      </c>
      <c r="K19" s="94">
        <v>0</v>
      </c>
      <c r="L19" s="197">
        <v>0</v>
      </c>
      <c r="M19" s="93">
        <f t="shared" si="3"/>
        <v>50000000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50000000</v>
      </c>
      <c r="T19" s="94">
        <v>0</v>
      </c>
      <c r="U19" s="197">
        <v>0</v>
      </c>
      <c r="V19" s="260" t="s">
        <v>1484</v>
      </c>
    </row>
    <row r="20" spans="1:22" ht="18">
      <c r="A20" s="12"/>
      <c r="B20" s="12" t="s">
        <v>732</v>
      </c>
      <c r="C20" s="144" t="s">
        <v>733</v>
      </c>
      <c r="D20" s="93">
        <f t="shared" si="2"/>
        <v>97653960</v>
      </c>
      <c r="E20" s="94">
        <v>0</v>
      </c>
      <c r="F20" s="94">
        <v>0</v>
      </c>
      <c r="G20" s="94">
        <v>97653960</v>
      </c>
      <c r="H20" s="94">
        <v>0</v>
      </c>
      <c r="I20" s="94">
        <v>0</v>
      </c>
      <c r="J20" s="94">
        <v>0</v>
      </c>
      <c r="K20" s="94">
        <v>0</v>
      </c>
      <c r="L20" s="197">
        <v>0</v>
      </c>
      <c r="M20" s="93">
        <f t="shared" si="3"/>
        <v>97653960</v>
      </c>
      <c r="N20" s="94">
        <v>0</v>
      </c>
      <c r="O20" s="94">
        <v>0</v>
      </c>
      <c r="P20" s="94">
        <v>97653960</v>
      </c>
      <c r="Q20" s="94">
        <v>0</v>
      </c>
      <c r="R20" s="94">
        <v>0</v>
      </c>
      <c r="S20" s="94">
        <v>0</v>
      </c>
      <c r="T20" s="94">
        <v>0</v>
      </c>
      <c r="U20" s="197">
        <v>0</v>
      </c>
      <c r="V20" s="260" t="s">
        <v>1485</v>
      </c>
    </row>
    <row r="21" spans="1:22" ht="30">
      <c r="A21" s="12"/>
      <c r="B21" s="12" t="s">
        <v>734</v>
      </c>
      <c r="C21" s="144" t="s">
        <v>735</v>
      </c>
      <c r="D21" s="93">
        <f t="shared" si="2"/>
        <v>15152222</v>
      </c>
      <c r="E21" s="94">
        <v>0</v>
      </c>
      <c r="F21" s="94">
        <v>0</v>
      </c>
      <c r="G21" s="94">
        <v>15152222</v>
      </c>
      <c r="H21" s="94">
        <v>0</v>
      </c>
      <c r="I21" s="94">
        <v>0</v>
      </c>
      <c r="J21" s="94">
        <v>0</v>
      </c>
      <c r="K21" s="94">
        <v>0</v>
      </c>
      <c r="L21" s="197">
        <v>0</v>
      </c>
      <c r="M21" s="93">
        <f t="shared" si="3"/>
        <v>15152222</v>
      </c>
      <c r="N21" s="94">
        <v>0</v>
      </c>
      <c r="O21" s="94">
        <v>0</v>
      </c>
      <c r="P21" s="94">
        <v>15152222</v>
      </c>
      <c r="Q21" s="94">
        <v>0</v>
      </c>
      <c r="R21" s="94">
        <v>0</v>
      </c>
      <c r="S21" s="94">
        <v>0</v>
      </c>
      <c r="T21" s="94">
        <v>0</v>
      </c>
      <c r="U21" s="197">
        <v>0</v>
      </c>
      <c r="V21" s="260" t="s">
        <v>1486</v>
      </c>
    </row>
    <row r="22" spans="1:22" ht="18">
      <c r="A22" s="12"/>
      <c r="B22" s="12" t="s">
        <v>736</v>
      </c>
      <c r="C22" s="144" t="s">
        <v>737</v>
      </c>
      <c r="D22" s="93">
        <f t="shared" si="2"/>
        <v>67335851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67335851</v>
      </c>
      <c r="K22" s="94">
        <v>0</v>
      </c>
      <c r="L22" s="197">
        <v>0</v>
      </c>
      <c r="M22" s="93">
        <f t="shared" si="3"/>
        <v>67335851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67335851</v>
      </c>
      <c r="T22" s="94">
        <v>0</v>
      </c>
      <c r="U22" s="197">
        <v>0</v>
      </c>
      <c r="V22" s="260" t="s">
        <v>1487</v>
      </c>
    </row>
    <row r="23" spans="1:22" ht="18">
      <c r="A23" s="12"/>
      <c r="B23" s="12" t="s">
        <v>738</v>
      </c>
      <c r="C23" s="144" t="s">
        <v>739</v>
      </c>
      <c r="D23" s="93">
        <f t="shared" si="2"/>
        <v>1550623100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1550623100</v>
      </c>
      <c r="K23" s="94">
        <v>0</v>
      </c>
      <c r="L23" s="197">
        <v>0</v>
      </c>
      <c r="M23" s="93">
        <f t="shared" si="3"/>
        <v>1550623100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1550623100</v>
      </c>
      <c r="T23" s="94">
        <v>0</v>
      </c>
      <c r="U23" s="197">
        <v>0</v>
      </c>
      <c r="V23" s="305" t="s">
        <v>1488</v>
      </c>
    </row>
    <row r="24" spans="1:22" ht="18">
      <c r="A24" s="12"/>
      <c r="B24" s="12" t="s">
        <v>740</v>
      </c>
      <c r="C24" s="144" t="s">
        <v>741</v>
      </c>
      <c r="D24" s="93">
        <f t="shared" si="2"/>
        <v>21618392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21618392</v>
      </c>
      <c r="L24" s="197">
        <v>0</v>
      </c>
      <c r="M24" s="93">
        <f t="shared" si="3"/>
        <v>21618392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21618392</v>
      </c>
      <c r="U24" s="197">
        <v>0</v>
      </c>
      <c r="V24" s="260" t="s">
        <v>1489</v>
      </c>
    </row>
    <row r="25" spans="1:22" ht="18">
      <c r="A25" s="12"/>
      <c r="B25" s="12" t="s">
        <v>742</v>
      </c>
      <c r="C25" s="144" t="s">
        <v>743</v>
      </c>
      <c r="D25" s="93">
        <f t="shared" si="2"/>
        <v>27373243</v>
      </c>
      <c r="E25" s="94">
        <v>0</v>
      </c>
      <c r="F25" s="94">
        <v>0</v>
      </c>
      <c r="G25" s="94">
        <v>27373243</v>
      </c>
      <c r="H25" s="94">
        <v>0</v>
      </c>
      <c r="I25" s="94">
        <v>0</v>
      </c>
      <c r="J25" s="94">
        <v>0</v>
      </c>
      <c r="K25" s="94">
        <v>0</v>
      </c>
      <c r="L25" s="197">
        <v>0</v>
      </c>
      <c r="M25" s="93">
        <f t="shared" si="3"/>
        <v>27373243</v>
      </c>
      <c r="N25" s="94">
        <v>0</v>
      </c>
      <c r="O25" s="94">
        <v>0</v>
      </c>
      <c r="P25" s="94">
        <v>27373243</v>
      </c>
      <c r="Q25" s="94">
        <v>0</v>
      </c>
      <c r="R25" s="94">
        <v>0</v>
      </c>
      <c r="S25" s="94">
        <v>0</v>
      </c>
      <c r="T25" s="94">
        <v>0</v>
      </c>
      <c r="U25" s="197">
        <v>0</v>
      </c>
      <c r="V25" s="260" t="s">
        <v>1490</v>
      </c>
    </row>
    <row r="26" spans="1:22" ht="18">
      <c r="A26" s="12"/>
      <c r="B26" s="12" t="s">
        <v>744</v>
      </c>
      <c r="C26" s="144" t="s">
        <v>745</v>
      </c>
      <c r="D26" s="93">
        <f t="shared" si="2"/>
        <v>16199880</v>
      </c>
      <c r="E26" s="94">
        <v>0</v>
      </c>
      <c r="F26" s="94">
        <v>0</v>
      </c>
      <c r="G26" s="94">
        <v>16199880</v>
      </c>
      <c r="H26" s="94">
        <v>0</v>
      </c>
      <c r="I26" s="94">
        <v>0</v>
      </c>
      <c r="J26" s="94">
        <v>0</v>
      </c>
      <c r="K26" s="94">
        <v>0</v>
      </c>
      <c r="L26" s="197">
        <v>0</v>
      </c>
      <c r="M26" s="93">
        <f t="shared" si="3"/>
        <v>16199880</v>
      </c>
      <c r="N26" s="94">
        <v>0</v>
      </c>
      <c r="O26" s="94">
        <v>0</v>
      </c>
      <c r="P26" s="94">
        <v>16199880</v>
      </c>
      <c r="Q26" s="94">
        <v>0</v>
      </c>
      <c r="R26" s="94">
        <v>0</v>
      </c>
      <c r="S26" s="94">
        <v>0</v>
      </c>
      <c r="T26" s="94">
        <v>0</v>
      </c>
      <c r="U26" s="197">
        <v>0</v>
      </c>
      <c r="V26" s="260" t="s">
        <v>1491</v>
      </c>
    </row>
    <row r="27" spans="1:22" ht="18">
      <c r="A27" s="12"/>
      <c r="B27" s="12" t="s">
        <v>746</v>
      </c>
      <c r="C27" s="144" t="s">
        <v>748</v>
      </c>
      <c r="D27" s="93">
        <f t="shared" si="2"/>
        <v>3191510</v>
      </c>
      <c r="E27" s="94">
        <v>0</v>
      </c>
      <c r="F27" s="94">
        <v>0</v>
      </c>
      <c r="G27" s="94">
        <v>3191510</v>
      </c>
      <c r="H27" s="94">
        <v>0</v>
      </c>
      <c r="I27" s="94">
        <v>0</v>
      </c>
      <c r="J27" s="94">
        <v>0</v>
      </c>
      <c r="K27" s="94">
        <v>0</v>
      </c>
      <c r="L27" s="197">
        <v>0</v>
      </c>
      <c r="M27" s="93">
        <f t="shared" si="3"/>
        <v>3191510</v>
      </c>
      <c r="N27" s="94">
        <v>0</v>
      </c>
      <c r="O27" s="94">
        <v>0</v>
      </c>
      <c r="P27" s="94">
        <v>3191510</v>
      </c>
      <c r="Q27" s="94">
        <v>0</v>
      </c>
      <c r="R27" s="94">
        <v>0</v>
      </c>
      <c r="S27" s="94">
        <v>0</v>
      </c>
      <c r="T27" s="94">
        <v>0</v>
      </c>
      <c r="U27" s="197">
        <v>0</v>
      </c>
      <c r="V27" s="260" t="s">
        <v>1492</v>
      </c>
    </row>
    <row r="28" spans="1:22" ht="18">
      <c r="A28" s="12"/>
      <c r="B28" s="12" t="s">
        <v>747</v>
      </c>
      <c r="C28" s="144" t="s">
        <v>1224</v>
      </c>
      <c r="D28" s="93">
        <f>SUM(E28:L28)</f>
        <v>2000000000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2000000000</v>
      </c>
      <c r="K28" s="94"/>
      <c r="L28" s="197">
        <v>0</v>
      </c>
      <c r="M28" s="93">
        <f>SUM(N28:U28)</f>
        <v>2000000000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2000000000</v>
      </c>
      <c r="T28" s="94"/>
      <c r="U28" s="197">
        <v>0</v>
      </c>
      <c r="V28" s="300">
        <v>58418</v>
      </c>
    </row>
    <row r="29" spans="1:22" ht="30">
      <c r="A29" s="12"/>
      <c r="B29" s="12" t="s">
        <v>1088</v>
      </c>
      <c r="C29" s="190" t="s">
        <v>1089</v>
      </c>
      <c r="D29" s="93">
        <f t="shared" si="2"/>
        <v>11444278505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f>11444278505</f>
        <v>11444278505</v>
      </c>
      <c r="K29" s="94">
        <v>0</v>
      </c>
      <c r="L29" s="197">
        <v>0</v>
      </c>
      <c r="M29" s="93">
        <f>SUM(N29:U29)</f>
        <v>11444278505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f>11444278505</f>
        <v>11444278505</v>
      </c>
      <c r="T29" s="94">
        <v>0</v>
      </c>
      <c r="U29" s="197">
        <v>0</v>
      </c>
      <c r="V29" s="260" t="s">
        <v>1493</v>
      </c>
    </row>
    <row r="30" spans="1:22" ht="18">
      <c r="A30" s="12" t="s">
        <v>158</v>
      </c>
      <c r="B30" s="12"/>
      <c r="C30" s="82" t="s">
        <v>42</v>
      </c>
      <c r="D30" s="24">
        <f t="shared" si="2"/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3">
        <v>0</v>
      </c>
      <c r="M30" s="24">
        <f>SUM(N30:U30)</f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3">
        <v>0</v>
      </c>
      <c r="V30" s="260"/>
    </row>
    <row r="31" spans="1:22" ht="18">
      <c r="A31" s="12" t="s">
        <v>159</v>
      </c>
      <c r="B31" s="12"/>
      <c r="C31" s="82" t="s">
        <v>44</v>
      </c>
      <c r="D31" s="24">
        <f t="shared" si="2"/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3">
        <v>0</v>
      </c>
      <c r="M31" s="24">
        <f>SUM(N31:U31)</f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3">
        <v>0</v>
      </c>
      <c r="V31" s="260"/>
    </row>
    <row r="32" spans="1:22" ht="35.25" customHeight="1">
      <c r="A32" s="402" t="s">
        <v>315</v>
      </c>
      <c r="B32" s="402"/>
      <c r="C32" s="402"/>
      <c r="D32" s="24">
        <f>SUM(E32:L32)</f>
        <v>17146657728</v>
      </c>
      <c r="E32" s="120">
        <f aca="true" t="shared" si="4" ref="E32:L32">E10+E30+E31</f>
        <v>0</v>
      </c>
      <c r="F32" s="120">
        <f t="shared" si="4"/>
        <v>0</v>
      </c>
      <c r="G32" s="120">
        <f t="shared" si="4"/>
        <v>598869372</v>
      </c>
      <c r="H32" s="120">
        <f t="shared" si="4"/>
        <v>0</v>
      </c>
      <c r="I32" s="120">
        <f t="shared" si="4"/>
        <v>0</v>
      </c>
      <c r="J32" s="120">
        <f t="shared" si="4"/>
        <v>16526169964</v>
      </c>
      <c r="K32" s="120">
        <f t="shared" si="4"/>
        <v>21618392</v>
      </c>
      <c r="L32" s="127">
        <f t="shared" si="4"/>
        <v>0</v>
      </c>
      <c r="M32" s="24">
        <f>SUM(N32:U32)</f>
        <v>17146657728</v>
      </c>
      <c r="N32" s="120">
        <f aca="true" t="shared" si="5" ref="N32:U32">N10+N30+N31</f>
        <v>0</v>
      </c>
      <c r="O32" s="120">
        <f t="shared" si="5"/>
        <v>0</v>
      </c>
      <c r="P32" s="120">
        <f t="shared" si="5"/>
        <v>598869372</v>
      </c>
      <c r="Q32" s="120">
        <f t="shared" si="5"/>
        <v>0</v>
      </c>
      <c r="R32" s="120">
        <f t="shared" si="5"/>
        <v>0</v>
      </c>
      <c r="S32" s="120">
        <f t="shared" si="5"/>
        <v>16526169964</v>
      </c>
      <c r="T32" s="120">
        <f t="shared" si="5"/>
        <v>21618392</v>
      </c>
      <c r="U32" s="127">
        <f t="shared" si="5"/>
        <v>0</v>
      </c>
      <c r="V32" s="260"/>
    </row>
    <row r="34" spans="3:22" ht="18"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4"/>
    </row>
    <row r="35" spans="3:22" s="153" customFormat="1" ht="15" customHeight="1"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5"/>
    </row>
    <row r="36" spans="3:22" s="153" customFormat="1" ht="18"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5"/>
    </row>
    <row r="37" spans="3:22" s="153" customFormat="1" ht="18">
      <c r="C37" s="271"/>
      <c r="D37" s="276"/>
      <c r="E37" s="271"/>
      <c r="F37" s="271"/>
      <c r="G37" s="271"/>
      <c r="H37" s="271"/>
      <c r="I37" s="271"/>
      <c r="J37" s="271"/>
      <c r="K37" s="271"/>
      <c r="L37" s="271"/>
      <c r="M37" s="276"/>
      <c r="N37" s="271"/>
      <c r="O37" s="271"/>
      <c r="P37" s="271"/>
      <c r="Q37" s="271"/>
      <c r="R37" s="271"/>
      <c r="S37" s="271"/>
      <c r="T37" s="271"/>
      <c r="U37" s="271"/>
      <c r="V37" s="275"/>
    </row>
    <row r="38" spans="3:22" ht="18">
      <c r="C38" s="272"/>
      <c r="D38" s="272"/>
      <c r="E38" s="277"/>
      <c r="F38" s="278"/>
      <c r="G38" s="272"/>
      <c r="H38" s="272"/>
      <c r="I38" s="272"/>
      <c r="J38" s="272"/>
      <c r="K38" s="272"/>
      <c r="L38" s="272"/>
      <c r="M38" s="272"/>
      <c r="N38" s="277"/>
      <c r="O38" s="278"/>
      <c r="P38" s="272"/>
      <c r="Q38" s="272"/>
      <c r="R38" s="272"/>
      <c r="S38" s="272"/>
      <c r="T38" s="272"/>
      <c r="U38" s="272"/>
      <c r="V38" s="274"/>
    </row>
    <row r="39" spans="3:22" ht="18"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4"/>
    </row>
    <row r="40" spans="3:22" ht="18">
      <c r="C40" s="272"/>
      <c r="D40" s="272"/>
      <c r="E40" s="273"/>
      <c r="F40" s="272"/>
      <c r="G40" s="272"/>
      <c r="H40" s="272"/>
      <c r="I40" s="272"/>
      <c r="J40" s="273"/>
      <c r="K40" s="273"/>
      <c r="L40" s="273"/>
      <c r="M40" s="272"/>
      <c r="N40" s="273"/>
      <c r="O40" s="272"/>
      <c r="P40" s="272"/>
      <c r="Q40" s="272"/>
      <c r="R40" s="272"/>
      <c r="S40" s="273"/>
      <c r="T40" s="273"/>
      <c r="U40" s="273"/>
      <c r="V40" s="274"/>
    </row>
    <row r="41" spans="3:22" ht="18">
      <c r="C41" s="272"/>
      <c r="D41" s="272"/>
      <c r="E41" s="272"/>
      <c r="F41" s="272"/>
      <c r="G41" s="272"/>
      <c r="H41" s="272"/>
      <c r="I41" s="272"/>
      <c r="J41" s="273"/>
      <c r="K41" s="449"/>
      <c r="L41" s="449"/>
      <c r="M41" s="272"/>
      <c r="N41" s="272"/>
      <c r="O41" s="272"/>
      <c r="P41" s="272"/>
      <c r="Q41" s="272"/>
      <c r="R41" s="272"/>
      <c r="S41" s="273"/>
      <c r="T41" s="449"/>
      <c r="U41" s="449"/>
      <c r="V41" s="274"/>
    </row>
    <row r="42" spans="3:22" ht="18">
      <c r="C42" s="272"/>
      <c r="D42" s="272"/>
      <c r="E42" s="272"/>
      <c r="F42" s="272"/>
      <c r="G42" s="272"/>
      <c r="H42" s="272"/>
      <c r="I42" s="272"/>
      <c r="J42" s="273"/>
      <c r="K42" s="273"/>
      <c r="L42" s="273"/>
      <c r="M42" s="272"/>
      <c r="N42" s="272"/>
      <c r="O42" s="272"/>
      <c r="P42" s="272"/>
      <c r="Q42" s="272"/>
      <c r="R42" s="272"/>
      <c r="S42" s="273"/>
      <c r="T42" s="273"/>
      <c r="U42" s="273"/>
      <c r="V42" s="274"/>
    </row>
    <row r="43" spans="3:22" ht="18">
      <c r="C43" s="272"/>
      <c r="D43" s="271"/>
      <c r="E43" s="271"/>
      <c r="F43" s="450"/>
      <c r="G43" s="451"/>
      <c r="H43" s="272"/>
      <c r="I43" s="272"/>
      <c r="J43" s="273"/>
      <c r="K43" s="273"/>
      <c r="L43" s="273"/>
      <c r="M43" s="271"/>
      <c r="N43" s="271"/>
      <c r="O43" s="450"/>
      <c r="P43" s="451"/>
      <c r="Q43" s="272"/>
      <c r="R43" s="272"/>
      <c r="S43" s="273"/>
      <c r="T43" s="273"/>
      <c r="U43" s="273"/>
      <c r="V43" s="274"/>
    </row>
    <row r="44" spans="3:22" ht="18">
      <c r="C44" s="272"/>
      <c r="D44" s="271"/>
      <c r="E44" s="271"/>
      <c r="F44" s="450"/>
      <c r="G44" s="451"/>
      <c r="H44" s="272"/>
      <c r="I44" s="272"/>
      <c r="J44" s="273"/>
      <c r="K44" s="273"/>
      <c r="L44" s="273"/>
      <c r="M44" s="271"/>
      <c r="N44" s="271"/>
      <c r="O44" s="450"/>
      <c r="P44" s="451"/>
      <c r="Q44" s="272"/>
      <c r="R44" s="272"/>
      <c r="S44" s="273"/>
      <c r="T44" s="273"/>
      <c r="U44" s="273"/>
      <c r="V44" s="274"/>
    </row>
    <row r="45" spans="3:22" ht="18">
      <c r="C45" s="272"/>
      <c r="D45" s="271"/>
      <c r="E45" s="271"/>
      <c r="F45" s="272"/>
      <c r="G45" s="272"/>
      <c r="H45" s="272"/>
      <c r="I45" s="272"/>
      <c r="J45" s="273"/>
      <c r="K45" s="279"/>
      <c r="L45" s="280"/>
      <c r="M45" s="271"/>
      <c r="N45" s="271"/>
      <c r="O45" s="272"/>
      <c r="P45" s="272"/>
      <c r="Q45" s="272"/>
      <c r="R45" s="272"/>
      <c r="S45" s="273"/>
      <c r="T45" s="279"/>
      <c r="U45" s="280"/>
      <c r="V45" s="274"/>
    </row>
    <row r="46" spans="3:22" ht="18">
      <c r="C46" s="272"/>
      <c r="D46" s="271"/>
      <c r="E46" s="271"/>
      <c r="F46" s="272"/>
      <c r="G46" s="272"/>
      <c r="H46" s="272"/>
      <c r="I46" s="272"/>
      <c r="J46" s="273"/>
      <c r="K46" s="273"/>
      <c r="L46" s="273"/>
      <c r="M46" s="271"/>
      <c r="N46" s="271"/>
      <c r="O46" s="272"/>
      <c r="P46" s="272"/>
      <c r="Q46" s="272"/>
      <c r="R46" s="272"/>
      <c r="S46" s="273"/>
      <c r="T46" s="273"/>
      <c r="U46" s="273"/>
      <c r="V46" s="274"/>
    </row>
    <row r="47" spans="3:22" s="79" customFormat="1" ht="30.75" customHeight="1">
      <c r="C47" s="281"/>
      <c r="D47" s="271"/>
      <c r="E47" s="271"/>
      <c r="F47" s="447"/>
      <c r="G47" s="447"/>
      <c r="H47" s="282"/>
      <c r="I47" s="281"/>
      <c r="J47" s="283"/>
      <c r="K47" s="283"/>
      <c r="L47" s="283"/>
      <c r="M47" s="271"/>
      <c r="N47" s="271"/>
      <c r="O47" s="447"/>
      <c r="P47" s="447"/>
      <c r="Q47" s="282"/>
      <c r="R47" s="281"/>
      <c r="S47" s="283"/>
      <c r="T47" s="283"/>
      <c r="U47" s="283"/>
      <c r="V47" s="284"/>
    </row>
    <row r="48" spans="3:22" s="79" customFormat="1" ht="32.25" customHeight="1">
      <c r="C48" s="281"/>
      <c r="D48" s="271"/>
      <c r="E48" s="271"/>
      <c r="F48" s="281"/>
      <c r="G48" s="281"/>
      <c r="H48" s="448"/>
      <c r="I48" s="281"/>
      <c r="J48" s="283"/>
      <c r="K48" s="285"/>
      <c r="L48" s="283"/>
      <c r="M48" s="271"/>
      <c r="N48" s="271"/>
      <c r="O48" s="281"/>
      <c r="P48" s="281"/>
      <c r="Q48" s="448"/>
      <c r="R48" s="281"/>
      <c r="S48" s="283"/>
      <c r="T48" s="285"/>
      <c r="U48" s="283"/>
      <c r="V48" s="284"/>
    </row>
    <row r="49" spans="3:22" s="79" customFormat="1" ht="18">
      <c r="C49" s="281"/>
      <c r="D49" s="281"/>
      <c r="E49" s="281"/>
      <c r="F49" s="281"/>
      <c r="G49" s="281"/>
      <c r="H49" s="448"/>
      <c r="I49" s="281"/>
      <c r="J49" s="283"/>
      <c r="K49" s="283"/>
      <c r="L49" s="283"/>
      <c r="M49" s="281"/>
      <c r="N49" s="281"/>
      <c r="O49" s="281"/>
      <c r="P49" s="281"/>
      <c r="Q49" s="448"/>
      <c r="R49" s="281"/>
      <c r="S49" s="283"/>
      <c r="T49" s="283"/>
      <c r="U49" s="283"/>
      <c r="V49" s="284"/>
    </row>
    <row r="50" spans="3:22" s="79" customFormat="1" ht="45.75" customHeight="1">
      <c r="C50" s="281"/>
      <c r="D50" s="281"/>
      <c r="E50" s="281"/>
      <c r="F50" s="286"/>
      <c r="G50" s="287"/>
      <c r="H50" s="448"/>
      <c r="I50" s="281"/>
      <c r="J50" s="283"/>
      <c r="K50" s="283"/>
      <c r="L50" s="283"/>
      <c r="M50" s="281"/>
      <c r="N50" s="281"/>
      <c r="O50" s="286"/>
      <c r="P50" s="287"/>
      <c r="Q50" s="448"/>
      <c r="R50" s="281"/>
      <c r="S50" s="283"/>
      <c r="T50" s="283"/>
      <c r="U50" s="283"/>
      <c r="V50" s="275"/>
    </row>
    <row r="51" spans="3:22" s="79" customFormat="1" ht="18">
      <c r="C51" s="281"/>
      <c r="D51" s="281"/>
      <c r="E51" s="281"/>
      <c r="F51" s="281"/>
      <c r="G51" s="281"/>
      <c r="H51" s="448"/>
      <c r="I51" s="281"/>
      <c r="J51" s="283"/>
      <c r="K51" s="288"/>
      <c r="L51" s="283"/>
      <c r="M51" s="281"/>
      <c r="N51" s="281"/>
      <c r="O51" s="281"/>
      <c r="P51" s="281"/>
      <c r="Q51" s="448"/>
      <c r="R51" s="281"/>
      <c r="S51" s="283"/>
      <c r="T51" s="288"/>
      <c r="U51" s="283"/>
      <c r="V51" s="284"/>
    </row>
    <row r="52" spans="3:22" s="79" customFormat="1" ht="18">
      <c r="C52" s="281"/>
      <c r="D52" s="281"/>
      <c r="E52" s="281"/>
      <c r="F52" s="281"/>
      <c r="G52" s="281"/>
      <c r="H52" s="448"/>
      <c r="I52" s="281"/>
      <c r="J52" s="282"/>
      <c r="K52" s="289"/>
      <c r="L52" s="283"/>
      <c r="M52" s="281"/>
      <c r="N52" s="281"/>
      <c r="O52" s="281"/>
      <c r="P52" s="281"/>
      <c r="Q52" s="448"/>
      <c r="R52" s="281"/>
      <c r="S52" s="282"/>
      <c r="T52" s="289"/>
      <c r="U52" s="283"/>
      <c r="V52" s="284"/>
    </row>
    <row r="53" spans="10:22" s="79" customFormat="1" ht="18">
      <c r="J53" s="152"/>
      <c r="K53" s="152"/>
      <c r="L53" s="152"/>
      <c r="S53" s="152"/>
      <c r="T53" s="152"/>
      <c r="U53" s="152"/>
      <c r="V53" s="253"/>
    </row>
  </sheetData>
  <sheetProtection selectLockedCells="1" selectUnlockedCells="1"/>
  <mergeCells count="27">
    <mergeCell ref="H48:H52"/>
    <mergeCell ref="F47:G47"/>
    <mergeCell ref="K41:L41"/>
    <mergeCell ref="A32:C32"/>
    <mergeCell ref="E8:I8"/>
    <mergeCell ref="J8:L8"/>
    <mergeCell ref="A7:A9"/>
    <mergeCell ref="B7:B9"/>
    <mergeCell ref="F43:F44"/>
    <mergeCell ref="A1:V1"/>
    <mergeCell ref="V7:V10"/>
    <mergeCell ref="G43:G44"/>
    <mergeCell ref="C7:C9"/>
    <mergeCell ref="D7:D9"/>
    <mergeCell ref="E7:L7"/>
    <mergeCell ref="M7:M9"/>
    <mergeCell ref="A2:V2"/>
    <mergeCell ref="O47:P47"/>
    <mergeCell ref="Q48:Q52"/>
    <mergeCell ref="A4:V4"/>
    <mergeCell ref="A3:V3"/>
    <mergeCell ref="N7:U7"/>
    <mergeCell ref="N8:R8"/>
    <mergeCell ref="S8:U8"/>
    <mergeCell ref="T41:U41"/>
    <mergeCell ref="O43:O44"/>
    <mergeCell ref="P43:P44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8" scale="3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6"/>
  <sheetViews>
    <sheetView view="pageBreakPreview" zoomScale="64" zoomScaleNormal="64" zoomScaleSheetLayoutView="64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V1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33.57421875" style="0" customWidth="1"/>
    <col min="4" max="4" width="17.7109375" style="0" customWidth="1"/>
    <col min="5" max="8" width="14.57421875" style="0" customWidth="1"/>
    <col min="9" max="9" width="19.00390625" style="0" customWidth="1"/>
    <col min="10" max="12" width="14.57421875" style="0" customWidth="1"/>
    <col min="13" max="13" width="17.7109375" style="0" customWidth="1"/>
    <col min="14" max="17" width="14.57421875" style="0" customWidth="1"/>
    <col min="18" max="18" width="19.00390625" style="0" customWidth="1"/>
    <col min="19" max="21" width="14.57421875" style="0" customWidth="1"/>
    <col min="22" max="22" width="17.00390625" style="320" customWidth="1"/>
  </cols>
  <sheetData>
    <row r="1" spans="1:22" ht="18">
      <c r="A1" s="347" t="s">
        <v>1570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18">
      <c r="A2" s="358" t="s">
        <v>1545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22" ht="18" customHeight="1">
      <c r="A3" s="423" t="s">
        <v>749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ht="18">
      <c r="A4" s="424" t="s">
        <v>750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89"/>
      <c r="M5" s="3"/>
      <c r="N5" s="3"/>
      <c r="O5" s="3"/>
      <c r="P5" s="3"/>
      <c r="Q5" s="3"/>
      <c r="R5" s="3"/>
      <c r="S5" s="3"/>
      <c r="T5" s="3"/>
      <c r="U5" s="189"/>
      <c r="V5" s="321" t="s">
        <v>1</v>
      </c>
    </row>
    <row r="6" spans="1:22" ht="14.25">
      <c r="A6" s="4" t="s">
        <v>2</v>
      </c>
      <c r="B6" s="4" t="s">
        <v>3</v>
      </c>
      <c r="C6" s="122" t="s">
        <v>4</v>
      </c>
      <c r="D6" s="200" t="s">
        <v>5</v>
      </c>
      <c r="E6" s="269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122" t="s">
        <v>13</v>
      </c>
      <c r="M6" s="295" t="s">
        <v>14</v>
      </c>
      <c r="N6" s="265" t="s">
        <v>15</v>
      </c>
      <c r="O6" s="265" t="s">
        <v>16</v>
      </c>
      <c r="P6" s="265" t="s">
        <v>17</v>
      </c>
      <c r="Q6" s="265" t="s">
        <v>18</v>
      </c>
      <c r="R6" s="265" t="s">
        <v>19</v>
      </c>
      <c r="S6" s="266" t="s">
        <v>20</v>
      </c>
      <c r="T6" s="265" t="s">
        <v>21</v>
      </c>
      <c r="U6" s="267" t="s">
        <v>22</v>
      </c>
      <c r="V6" s="322" t="s">
        <v>181</v>
      </c>
    </row>
    <row r="7" spans="1:22" ht="12.75" customHeight="1">
      <c r="A7" s="354" t="s">
        <v>24</v>
      </c>
      <c r="B7" s="354" t="s">
        <v>185</v>
      </c>
      <c r="C7" s="355" t="s">
        <v>25</v>
      </c>
      <c r="D7" s="452" t="s">
        <v>1099</v>
      </c>
      <c r="E7" s="403" t="s">
        <v>26</v>
      </c>
      <c r="F7" s="403"/>
      <c r="G7" s="403"/>
      <c r="H7" s="403"/>
      <c r="I7" s="403"/>
      <c r="J7" s="403"/>
      <c r="K7" s="403"/>
      <c r="L7" s="404"/>
      <c r="M7" s="355" t="s">
        <v>1526</v>
      </c>
      <c r="N7" s="403" t="s">
        <v>1525</v>
      </c>
      <c r="O7" s="403"/>
      <c r="P7" s="403"/>
      <c r="Q7" s="403"/>
      <c r="R7" s="403"/>
      <c r="S7" s="403"/>
      <c r="T7" s="403"/>
      <c r="U7" s="404"/>
      <c r="V7" s="405" t="s">
        <v>1234</v>
      </c>
    </row>
    <row r="8" spans="1:22" ht="12.75" customHeight="1">
      <c r="A8" s="354"/>
      <c r="B8" s="354"/>
      <c r="C8" s="355"/>
      <c r="D8" s="355"/>
      <c r="E8" s="351" t="s">
        <v>27</v>
      </c>
      <c r="F8" s="351"/>
      <c r="G8" s="351"/>
      <c r="H8" s="351"/>
      <c r="I8" s="351"/>
      <c r="J8" s="351" t="s">
        <v>28</v>
      </c>
      <c r="K8" s="351"/>
      <c r="L8" s="398"/>
      <c r="M8" s="355"/>
      <c r="N8" s="351" t="s">
        <v>27</v>
      </c>
      <c r="O8" s="351"/>
      <c r="P8" s="351"/>
      <c r="Q8" s="351"/>
      <c r="R8" s="351"/>
      <c r="S8" s="351" t="s">
        <v>28</v>
      </c>
      <c r="T8" s="351"/>
      <c r="U8" s="398"/>
      <c r="V8" s="405"/>
    </row>
    <row r="9" spans="1:22" ht="96" customHeight="1">
      <c r="A9" s="354"/>
      <c r="B9" s="354"/>
      <c r="C9" s="355"/>
      <c r="D9" s="35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196" t="s">
        <v>36</v>
      </c>
      <c r="M9" s="35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196" t="s">
        <v>36</v>
      </c>
      <c r="V9" s="405"/>
    </row>
    <row r="10" spans="1:22" ht="18">
      <c r="A10" s="12" t="s">
        <v>162</v>
      </c>
      <c r="B10" s="12"/>
      <c r="C10" s="145" t="s">
        <v>40</v>
      </c>
      <c r="D10" s="146">
        <f aca="true" t="shared" si="0" ref="D10:D18">SUM(E10:L10)</f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7">
        <v>0</v>
      </c>
      <c r="M10" s="146">
        <f aca="true" t="shared" si="1" ref="M10:M18">SUM(N10:U10)</f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>
        <v>0</v>
      </c>
      <c r="V10" s="405"/>
    </row>
    <row r="11" spans="1:22" ht="18">
      <c r="A11" s="12" t="s">
        <v>163</v>
      </c>
      <c r="B11" s="12"/>
      <c r="C11" s="82" t="s">
        <v>42</v>
      </c>
      <c r="D11" s="14">
        <f t="shared" si="0"/>
        <v>11000000</v>
      </c>
      <c r="E11" s="120">
        <f aca="true" t="shared" si="2" ref="E11:L11">SUM(E12:E18)</f>
        <v>0</v>
      </c>
      <c r="F11" s="120">
        <f t="shared" si="2"/>
        <v>0</v>
      </c>
      <c r="G11" s="120">
        <f t="shared" si="2"/>
        <v>0</v>
      </c>
      <c r="H11" s="120">
        <f t="shared" si="2"/>
        <v>0</v>
      </c>
      <c r="I11" s="120">
        <f>SUM(I12:I18)</f>
        <v>11000000</v>
      </c>
      <c r="J11" s="120">
        <f t="shared" si="2"/>
        <v>0</v>
      </c>
      <c r="K11" s="120">
        <f t="shared" si="2"/>
        <v>0</v>
      </c>
      <c r="L11" s="127">
        <f t="shared" si="2"/>
        <v>0</v>
      </c>
      <c r="M11" s="14">
        <f t="shared" si="1"/>
        <v>11000000</v>
      </c>
      <c r="N11" s="120">
        <f aca="true" t="shared" si="3" ref="N11:U11">SUM(N12:N18)</f>
        <v>0</v>
      </c>
      <c r="O11" s="120">
        <f t="shared" si="3"/>
        <v>0</v>
      </c>
      <c r="P11" s="120">
        <f t="shared" si="3"/>
        <v>0</v>
      </c>
      <c r="Q11" s="120">
        <f t="shared" si="3"/>
        <v>0</v>
      </c>
      <c r="R11" s="120">
        <f t="shared" si="3"/>
        <v>11000000</v>
      </c>
      <c r="S11" s="120">
        <f t="shared" si="3"/>
        <v>0</v>
      </c>
      <c r="T11" s="120">
        <f t="shared" si="3"/>
        <v>0</v>
      </c>
      <c r="U11" s="127">
        <f t="shared" si="3"/>
        <v>0</v>
      </c>
      <c r="V11" s="405"/>
    </row>
    <row r="12" spans="1:22" ht="45">
      <c r="A12" s="12"/>
      <c r="B12" s="12" t="s">
        <v>751</v>
      </c>
      <c r="C12" s="130" t="s">
        <v>752</v>
      </c>
      <c r="D12" s="93">
        <f t="shared" si="0"/>
        <v>1000000</v>
      </c>
      <c r="E12" s="94">
        <v>0</v>
      </c>
      <c r="F12" s="94">
        <v>0</v>
      </c>
      <c r="G12" s="94">
        <v>0</v>
      </c>
      <c r="H12" s="94">
        <v>0</v>
      </c>
      <c r="I12" s="94">
        <v>1000000</v>
      </c>
      <c r="J12" s="94">
        <v>0</v>
      </c>
      <c r="K12" s="94">
        <v>0</v>
      </c>
      <c r="L12" s="197">
        <v>0</v>
      </c>
      <c r="M12" s="93">
        <f t="shared" si="1"/>
        <v>1000000</v>
      </c>
      <c r="N12" s="94">
        <v>0</v>
      </c>
      <c r="O12" s="94">
        <v>0</v>
      </c>
      <c r="P12" s="94">
        <v>0</v>
      </c>
      <c r="Q12" s="94">
        <v>0</v>
      </c>
      <c r="R12" s="94">
        <v>1000000</v>
      </c>
      <c r="S12" s="94">
        <v>0</v>
      </c>
      <c r="T12" s="94">
        <v>0</v>
      </c>
      <c r="U12" s="197">
        <v>0</v>
      </c>
      <c r="V12" s="323" t="s">
        <v>1494</v>
      </c>
    </row>
    <row r="13" spans="1:22" ht="45">
      <c r="A13" s="12"/>
      <c r="B13" s="12" t="s">
        <v>753</v>
      </c>
      <c r="C13" s="130" t="s">
        <v>754</v>
      </c>
      <c r="D13" s="93">
        <f t="shared" si="0"/>
        <v>4000000</v>
      </c>
      <c r="E13" s="94">
        <v>0</v>
      </c>
      <c r="F13" s="94">
        <v>0</v>
      </c>
      <c r="G13" s="94">
        <v>0</v>
      </c>
      <c r="H13" s="94">
        <v>0</v>
      </c>
      <c r="I13" s="94">
        <v>4000000</v>
      </c>
      <c r="J13" s="94">
        <v>0</v>
      </c>
      <c r="K13" s="94">
        <v>0</v>
      </c>
      <c r="L13" s="197">
        <v>0</v>
      </c>
      <c r="M13" s="93">
        <f t="shared" si="1"/>
        <v>4000000</v>
      </c>
      <c r="N13" s="94">
        <v>0</v>
      </c>
      <c r="O13" s="94">
        <v>0</v>
      </c>
      <c r="P13" s="94">
        <v>0</v>
      </c>
      <c r="Q13" s="94">
        <v>0</v>
      </c>
      <c r="R13" s="94">
        <v>4000000</v>
      </c>
      <c r="S13" s="94">
        <v>0</v>
      </c>
      <c r="T13" s="94">
        <v>0</v>
      </c>
      <c r="U13" s="197">
        <v>0</v>
      </c>
      <c r="V13" s="323" t="s">
        <v>1495</v>
      </c>
    </row>
    <row r="14" spans="1:22" ht="45">
      <c r="A14" s="12"/>
      <c r="B14" s="12" t="s">
        <v>755</v>
      </c>
      <c r="C14" s="130" t="s">
        <v>756</v>
      </c>
      <c r="D14" s="93">
        <f t="shared" si="0"/>
        <v>1000000</v>
      </c>
      <c r="E14" s="94">
        <v>0</v>
      </c>
      <c r="F14" s="94">
        <v>0</v>
      </c>
      <c r="G14" s="94">
        <v>0</v>
      </c>
      <c r="H14" s="94">
        <v>0</v>
      </c>
      <c r="I14" s="94">
        <v>1000000</v>
      </c>
      <c r="J14" s="94">
        <v>0</v>
      </c>
      <c r="K14" s="94">
        <v>0</v>
      </c>
      <c r="L14" s="197">
        <v>0</v>
      </c>
      <c r="M14" s="93">
        <f t="shared" si="1"/>
        <v>1000000</v>
      </c>
      <c r="N14" s="94">
        <v>0</v>
      </c>
      <c r="O14" s="94">
        <v>0</v>
      </c>
      <c r="P14" s="94">
        <v>0</v>
      </c>
      <c r="Q14" s="94">
        <v>0</v>
      </c>
      <c r="R14" s="94">
        <v>1000000</v>
      </c>
      <c r="S14" s="94">
        <v>0</v>
      </c>
      <c r="T14" s="94">
        <v>0</v>
      </c>
      <c r="U14" s="197">
        <v>0</v>
      </c>
      <c r="V14" s="323" t="s">
        <v>1496</v>
      </c>
    </row>
    <row r="15" spans="1:22" ht="45">
      <c r="A15" s="12"/>
      <c r="B15" s="12" t="s">
        <v>757</v>
      </c>
      <c r="C15" s="130" t="s">
        <v>758</v>
      </c>
      <c r="D15" s="93">
        <f t="shared" si="0"/>
        <v>1500000</v>
      </c>
      <c r="E15" s="94">
        <v>0</v>
      </c>
      <c r="F15" s="94">
        <v>0</v>
      </c>
      <c r="G15" s="94">
        <v>0</v>
      </c>
      <c r="H15" s="94">
        <v>0</v>
      </c>
      <c r="I15" s="94">
        <v>1500000</v>
      </c>
      <c r="J15" s="94">
        <v>0</v>
      </c>
      <c r="K15" s="94">
        <v>0</v>
      </c>
      <c r="L15" s="197">
        <v>0</v>
      </c>
      <c r="M15" s="93">
        <f t="shared" si="1"/>
        <v>1500000</v>
      </c>
      <c r="N15" s="94">
        <v>0</v>
      </c>
      <c r="O15" s="94">
        <v>0</v>
      </c>
      <c r="P15" s="94">
        <v>0</v>
      </c>
      <c r="Q15" s="94">
        <v>0</v>
      </c>
      <c r="R15" s="94">
        <v>1500000</v>
      </c>
      <c r="S15" s="94">
        <v>0</v>
      </c>
      <c r="T15" s="94">
        <v>0</v>
      </c>
      <c r="U15" s="197">
        <v>0</v>
      </c>
      <c r="V15" s="323" t="s">
        <v>1497</v>
      </c>
    </row>
    <row r="16" spans="1:22" ht="45">
      <c r="A16" s="12"/>
      <c r="B16" s="12" t="s">
        <v>759</v>
      </c>
      <c r="C16" s="130" t="s">
        <v>760</v>
      </c>
      <c r="D16" s="93">
        <f t="shared" si="0"/>
        <v>1500000</v>
      </c>
      <c r="E16" s="94">
        <v>0</v>
      </c>
      <c r="F16" s="94">
        <v>0</v>
      </c>
      <c r="G16" s="94">
        <v>0</v>
      </c>
      <c r="H16" s="94">
        <v>0</v>
      </c>
      <c r="I16" s="94">
        <v>1500000</v>
      </c>
      <c r="J16" s="94">
        <v>0</v>
      </c>
      <c r="K16" s="94">
        <v>0</v>
      </c>
      <c r="L16" s="197">
        <v>0</v>
      </c>
      <c r="M16" s="93">
        <f t="shared" si="1"/>
        <v>1500000</v>
      </c>
      <c r="N16" s="94">
        <v>0</v>
      </c>
      <c r="O16" s="94">
        <v>0</v>
      </c>
      <c r="P16" s="94">
        <v>0</v>
      </c>
      <c r="Q16" s="94">
        <v>0</v>
      </c>
      <c r="R16" s="94">
        <v>1500000</v>
      </c>
      <c r="S16" s="94">
        <v>0</v>
      </c>
      <c r="T16" s="94">
        <v>0</v>
      </c>
      <c r="U16" s="197">
        <v>0</v>
      </c>
      <c r="V16" s="323" t="s">
        <v>1498</v>
      </c>
    </row>
    <row r="17" spans="1:22" ht="45">
      <c r="A17" s="12"/>
      <c r="B17" s="12" t="s">
        <v>761</v>
      </c>
      <c r="C17" s="130" t="s">
        <v>762</v>
      </c>
      <c r="D17" s="93">
        <f t="shared" si="0"/>
        <v>1000000</v>
      </c>
      <c r="E17" s="94">
        <v>0</v>
      </c>
      <c r="F17" s="94">
        <v>0</v>
      </c>
      <c r="G17" s="94">
        <v>0</v>
      </c>
      <c r="H17" s="94">
        <v>0</v>
      </c>
      <c r="I17" s="94">
        <v>1000000</v>
      </c>
      <c r="J17" s="94">
        <v>0</v>
      </c>
      <c r="K17" s="94">
        <v>0</v>
      </c>
      <c r="L17" s="197">
        <v>0</v>
      </c>
      <c r="M17" s="93">
        <f t="shared" si="1"/>
        <v>1000000</v>
      </c>
      <c r="N17" s="94">
        <v>0</v>
      </c>
      <c r="O17" s="94">
        <v>0</v>
      </c>
      <c r="P17" s="94">
        <v>0</v>
      </c>
      <c r="Q17" s="94">
        <v>0</v>
      </c>
      <c r="R17" s="94">
        <v>1000000</v>
      </c>
      <c r="S17" s="94">
        <v>0</v>
      </c>
      <c r="T17" s="94">
        <v>0</v>
      </c>
      <c r="U17" s="197">
        <v>0</v>
      </c>
      <c r="V17" s="323" t="s">
        <v>1499</v>
      </c>
    </row>
    <row r="18" spans="1:22" ht="45">
      <c r="A18" s="12"/>
      <c r="B18" s="12" t="s">
        <v>763</v>
      </c>
      <c r="C18" s="130" t="s">
        <v>764</v>
      </c>
      <c r="D18" s="93">
        <f t="shared" si="0"/>
        <v>1000000</v>
      </c>
      <c r="E18" s="94">
        <v>0</v>
      </c>
      <c r="F18" s="94">
        <v>0</v>
      </c>
      <c r="G18" s="94">
        <v>0</v>
      </c>
      <c r="H18" s="94">
        <v>0</v>
      </c>
      <c r="I18" s="94">
        <v>1000000</v>
      </c>
      <c r="J18" s="94">
        <v>0</v>
      </c>
      <c r="K18" s="94">
        <v>0</v>
      </c>
      <c r="L18" s="197">
        <v>0</v>
      </c>
      <c r="M18" s="93">
        <f t="shared" si="1"/>
        <v>1000000</v>
      </c>
      <c r="N18" s="94">
        <v>0</v>
      </c>
      <c r="O18" s="94">
        <v>0</v>
      </c>
      <c r="P18" s="94">
        <v>0</v>
      </c>
      <c r="Q18" s="94">
        <v>0</v>
      </c>
      <c r="R18" s="94">
        <v>1000000</v>
      </c>
      <c r="S18" s="94">
        <v>0</v>
      </c>
      <c r="T18" s="94">
        <v>0</v>
      </c>
      <c r="U18" s="197">
        <v>0</v>
      </c>
      <c r="V18" s="323" t="s">
        <v>1500</v>
      </c>
    </row>
    <row r="19" spans="1:22" ht="46.5" customHeight="1">
      <c r="A19" s="12" t="s">
        <v>164</v>
      </c>
      <c r="B19" s="12"/>
      <c r="C19" s="82" t="s">
        <v>44</v>
      </c>
      <c r="D19" s="24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3">
        <v>0</v>
      </c>
      <c r="M19" s="24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3">
        <v>0</v>
      </c>
      <c r="V19" s="325"/>
    </row>
    <row r="20" spans="1:22" ht="27.75" customHeight="1">
      <c r="A20" s="402" t="s">
        <v>315</v>
      </c>
      <c r="B20" s="402"/>
      <c r="C20" s="402"/>
      <c r="D20" s="24">
        <f>SUM(E20:L20)</f>
        <v>11000000</v>
      </c>
      <c r="E20" s="120">
        <f aca="true" t="shared" si="4" ref="E20:L20">E10+E11+E19</f>
        <v>0</v>
      </c>
      <c r="F20" s="120">
        <f t="shared" si="4"/>
        <v>0</v>
      </c>
      <c r="G20" s="120">
        <f t="shared" si="4"/>
        <v>0</v>
      </c>
      <c r="H20" s="120">
        <f t="shared" si="4"/>
        <v>0</v>
      </c>
      <c r="I20" s="120">
        <f t="shared" si="4"/>
        <v>11000000</v>
      </c>
      <c r="J20" s="120">
        <f t="shared" si="4"/>
        <v>0</v>
      </c>
      <c r="K20" s="120">
        <f t="shared" si="4"/>
        <v>0</v>
      </c>
      <c r="L20" s="127">
        <f t="shared" si="4"/>
        <v>0</v>
      </c>
      <c r="M20" s="24">
        <f>SUM(N20:U20)</f>
        <v>11000000</v>
      </c>
      <c r="N20" s="120">
        <f aca="true" t="shared" si="5" ref="N20:U20">N10+N11+N19</f>
        <v>0</v>
      </c>
      <c r="O20" s="120">
        <f t="shared" si="5"/>
        <v>0</v>
      </c>
      <c r="P20" s="120">
        <f t="shared" si="5"/>
        <v>0</v>
      </c>
      <c r="Q20" s="120">
        <f t="shared" si="5"/>
        <v>0</v>
      </c>
      <c r="R20" s="120">
        <f t="shared" si="5"/>
        <v>11000000</v>
      </c>
      <c r="S20" s="120">
        <f t="shared" si="5"/>
        <v>0</v>
      </c>
      <c r="T20" s="120">
        <f t="shared" si="5"/>
        <v>0</v>
      </c>
      <c r="U20" s="127">
        <f t="shared" si="5"/>
        <v>0</v>
      </c>
      <c r="V20" s="325"/>
    </row>
    <row r="31" spans="11:21" ht="12.75">
      <c r="K31" s="32"/>
      <c r="L31" s="32"/>
      <c r="T31" s="32"/>
      <c r="U31" s="32"/>
    </row>
    <row r="32" spans="11:21" ht="12.75">
      <c r="K32" s="32"/>
      <c r="L32" s="32"/>
      <c r="T32" s="32"/>
      <c r="U32" s="32"/>
    </row>
    <row r="33" spans="11:21" ht="12.75">
      <c r="K33" s="32"/>
      <c r="L33" s="32"/>
      <c r="T33" s="32"/>
      <c r="U33" s="32"/>
    </row>
    <row r="34" spans="11:21" ht="12.75">
      <c r="K34" s="32"/>
      <c r="L34" s="32"/>
      <c r="T34" s="32"/>
      <c r="U34" s="32"/>
    </row>
    <row r="35" spans="11:21" ht="12.75">
      <c r="K35" s="32"/>
      <c r="L35" s="32"/>
      <c r="T35" s="32"/>
      <c r="U35" s="32"/>
    </row>
    <row r="36" spans="11:21" ht="12.75">
      <c r="K36" s="32"/>
      <c r="L36" s="32" t="s">
        <v>487</v>
      </c>
      <c r="T36" s="32"/>
      <c r="U36" s="32" t="s">
        <v>487</v>
      </c>
    </row>
  </sheetData>
  <sheetProtection selectLockedCells="1" selectUnlockedCells="1"/>
  <mergeCells count="17">
    <mergeCell ref="A1:V1"/>
    <mergeCell ref="C7:C9"/>
    <mergeCell ref="V7:V11"/>
    <mergeCell ref="D7:D9"/>
    <mergeCell ref="E7:L7"/>
    <mergeCell ref="N7:U7"/>
    <mergeCell ref="N8:R8"/>
    <mergeCell ref="S8:U8"/>
    <mergeCell ref="A4:V4"/>
    <mergeCell ref="A2:V2"/>
    <mergeCell ref="A3:V3"/>
    <mergeCell ref="A20:C20"/>
    <mergeCell ref="E8:I8"/>
    <mergeCell ref="J8:L8"/>
    <mergeCell ref="A7:A9"/>
    <mergeCell ref="B7:B9"/>
    <mergeCell ref="M7:M9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4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4"/>
  <sheetViews>
    <sheetView tabSelected="1" view="pageBreakPreview" zoomScale="70" zoomScaleNormal="71" zoomScaleSheetLayoutView="70" zoomScalePageLayoutView="0" workbookViewId="0" topLeftCell="A1">
      <selection activeCell="A3" sqref="A3:V3"/>
    </sheetView>
  </sheetViews>
  <sheetFormatPr defaultColWidth="9.140625" defaultRowHeight="12.75"/>
  <cols>
    <col min="1" max="1" width="6.421875" style="0" customWidth="1"/>
    <col min="2" max="2" width="10.00390625" style="0" customWidth="1"/>
    <col min="3" max="3" width="60.57421875" style="0" customWidth="1"/>
    <col min="4" max="4" width="33.57421875" style="0" bestFit="1" customWidth="1"/>
    <col min="5" max="5" width="14.57421875" style="0" customWidth="1"/>
    <col min="6" max="6" width="15.8515625" style="0" customWidth="1"/>
    <col min="7" max="8" width="14.57421875" style="0" customWidth="1"/>
    <col min="9" max="9" width="19.140625" style="0" customWidth="1"/>
    <col min="10" max="12" width="14.57421875" style="0" customWidth="1"/>
    <col min="13" max="13" width="33.57421875" style="0" bestFit="1" customWidth="1"/>
    <col min="14" max="14" width="14.57421875" style="0" customWidth="1"/>
    <col min="15" max="15" width="15.8515625" style="0" customWidth="1"/>
    <col min="16" max="17" width="14.57421875" style="0" customWidth="1"/>
    <col min="18" max="18" width="19.140625" style="0" customWidth="1"/>
    <col min="19" max="21" width="14.57421875" style="0" customWidth="1"/>
    <col min="22" max="22" width="16.28125" style="95" customWidth="1"/>
  </cols>
  <sheetData>
    <row r="1" spans="1:22" ht="20.25" customHeight="1">
      <c r="A1" s="347" t="s">
        <v>1571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20.25" customHeight="1">
      <c r="A2" s="358" t="s">
        <v>1546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22" ht="18" customHeight="1">
      <c r="A3" s="423" t="s">
        <v>765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ht="20.25" customHeight="1">
      <c r="A4" s="424" t="s">
        <v>766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</row>
    <row r="5" spans="1:2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3"/>
      <c r="N5" s="3"/>
      <c r="O5" s="3"/>
      <c r="P5" s="3"/>
      <c r="Q5" s="3"/>
      <c r="R5" s="3"/>
      <c r="S5" s="3"/>
      <c r="T5" s="3"/>
      <c r="V5" s="311" t="s">
        <v>1</v>
      </c>
    </row>
    <row r="6" spans="1:22" ht="14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22" t="s">
        <v>12</v>
      </c>
      <c r="L6" s="200" t="s">
        <v>13</v>
      </c>
      <c r="M6" s="295" t="s">
        <v>14</v>
      </c>
      <c r="N6" s="265" t="s">
        <v>15</v>
      </c>
      <c r="O6" s="265" t="s">
        <v>16</v>
      </c>
      <c r="P6" s="265" t="s">
        <v>17</v>
      </c>
      <c r="Q6" s="265" t="s">
        <v>18</v>
      </c>
      <c r="R6" s="265" t="s">
        <v>19</v>
      </c>
      <c r="S6" s="266" t="s">
        <v>20</v>
      </c>
      <c r="T6" s="265" t="s">
        <v>21</v>
      </c>
      <c r="U6" s="267" t="s">
        <v>22</v>
      </c>
      <c r="V6" s="200" t="s">
        <v>181</v>
      </c>
    </row>
    <row r="7" spans="1:22" ht="12.75" customHeight="1">
      <c r="A7" s="354" t="s">
        <v>24</v>
      </c>
      <c r="B7" s="354" t="s">
        <v>185</v>
      </c>
      <c r="C7" s="355" t="s">
        <v>25</v>
      </c>
      <c r="D7" s="355" t="s">
        <v>1099</v>
      </c>
      <c r="E7" s="403" t="s">
        <v>26</v>
      </c>
      <c r="F7" s="403"/>
      <c r="G7" s="403"/>
      <c r="H7" s="403"/>
      <c r="I7" s="403"/>
      <c r="J7" s="403"/>
      <c r="K7" s="403"/>
      <c r="L7" s="404"/>
      <c r="M7" s="355" t="s">
        <v>1526</v>
      </c>
      <c r="N7" s="403" t="s">
        <v>1525</v>
      </c>
      <c r="O7" s="403"/>
      <c r="P7" s="403"/>
      <c r="Q7" s="403"/>
      <c r="R7" s="403"/>
      <c r="S7" s="403"/>
      <c r="T7" s="403"/>
      <c r="U7" s="404"/>
      <c r="V7" s="453" t="s">
        <v>1234</v>
      </c>
    </row>
    <row r="8" spans="1:22" ht="12.75" customHeight="1">
      <c r="A8" s="354"/>
      <c r="B8" s="354"/>
      <c r="C8" s="355"/>
      <c r="D8" s="355"/>
      <c r="E8" s="351" t="s">
        <v>27</v>
      </c>
      <c r="F8" s="351"/>
      <c r="G8" s="351"/>
      <c r="H8" s="351"/>
      <c r="I8" s="351"/>
      <c r="J8" s="351" t="s">
        <v>28</v>
      </c>
      <c r="K8" s="351"/>
      <c r="L8" s="398"/>
      <c r="M8" s="355"/>
      <c r="N8" s="351" t="s">
        <v>27</v>
      </c>
      <c r="O8" s="351"/>
      <c r="P8" s="351"/>
      <c r="Q8" s="351"/>
      <c r="R8" s="351"/>
      <c r="S8" s="351" t="s">
        <v>28</v>
      </c>
      <c r="T8" s="351"/>
      <c r="U8" s="398"/>
      <c r="V8" s="453"/>
    </row>
    <row r="9" spans="1:22" ht="63.75">
      <c r="A9" s="354"/>
      <c r="B9" s="354"/>
      <c r="C9" s="355"/>
      <c r="D9" s="35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196" t="s">
        <v>36</v>
      </c>
      <c r="M9" s="35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196" t="s">
        <v>36</v>
      </c>
      <c r="V9" s="453"/>
    </row>
    <row r="10" spans="1:22" ht="20.25" customHeight="1">
      <c r="A10" s="161" t="s">
        <v>172</v>
      </c>
      <c r="B10" s="161"/>
      <c r="C10" s="162" t="s">
        <v>40</v>
      </c>
      <c r="D10" s="182">
        <f aca="true" t="shared" si="0" ref="D10:D24">SUM(E10:L10)</f>
        <v>118134693</v>
      </c>
      <c r="E10" s="183">
        <f aca="true" t="shared" si="1" ref="E10:L10">SUM(E11:E20)</f>
        <v>0</v>
      </c>
      <c r="F10" s="183">
        <f t="shared" si="1"/>
        <v>0</v>
      </c>
      <c r="G10" s="183">
        <f t="shared" si="1"/>
        <v>0</v>
      </c>
      <c r="H10" s="183">
        <f t="shared" si="1"/>
        <v>0</v>
      </c>
      <c r="I10" s="183">
        <f>SUM(I11:I21)</f>
        <v>118134693</v>
      </c>
      <c r="J10" s="183">
        <f t="shared" si="1"/>
        <v>0</v>
      </c>
      <c r="K10" s="183">
        <f t="shared" si="1"/>
        <v>0</v>
      </c>
      <c r="L10" s="270">
        <f t="shared" si="1"/>
        <v>0</v>
      </c>
      <c r="M10" s="182">
        <f aca="true" t="shared" si="2" ref="M10:M16">SUM(N10:U10)</f>
        <v>207134693</v>
      </c>
      <c r="N10" s="183">
        <f>SUM(N11:N20)</f>
        <v>0</v>
      </c>
      <c r="O10" s="183">
        <f>SUM(O11:O20)</f>
        <v>0</v>
      </c>
      <c r="P10" s="183">
        <f>SUM(P11:P20)</f>
        <v>0</v>
      </c>
      <c r="Q10" s="183">
        <f>SUM(Q11:Q20)</f>
        <v>0</v>
      </c>
      <c r="R10" s="183">
        <f>SUM(R11:R21)</f>
        <v>207134693</v>
      </c>
      <c r="S10" s="183">
        <f>SUM(S11:S20)</f>
        <v>0</v>
      </c>
      <c r="T10" s="183">
        <f>SUM(T11:T20)</f>
        <v>0</v>
      </c>
      <c r="U10" s="270">
        <f>SUM(U11:U20)</f>
        <v>0</v>
      </c>
      <c r="V10" s="453"/>
    </row>
    <row r="11" spans="1:22" ht="20.25">
      <c r="A11" s="161"/>
      <c r="B11" s="161" t="s">
        <v>767</v>
      </c>
      <c r="C11" s="184" t="s">
        <v>1175</v>
      </c>
      <c r="D11" s="180">
        <f t="shared" si="0"/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80">
        <f t="shared" si="2"/>
        <v>0</v>
      </c>
      <c r="N11" s="179">
        <v>0</v>
      </c>
      <c r="O11" s="179">
        <v>0</v>
      </c>
      <c r="P11" s="179">
        <v>0</v>
      </c>
      <c r="Q11" s="179">
        <v>0</v>
      </c>
      <c r="R11" s="179">
        <v>0</v>
      </c>
      <c r="S11" s="179">
        <v>0</v>
      </c>
      <c r="T11" s="179">
        <v>0</v>
      </c>
      <c r="U11" s="179">
        <v>0</v>
      </c>
      <c r="V11" s="317" t="s">
        <v>1517</v>
      </c>
    </row>
    <row r="12" spans="1:22" ht="20.25">
      <c r="A12" s="161"/>
      <c r="B12" s="161" t="s">
        <v>768</v>
      </c>
      <c r="C12" s="184" t="s">
        <v>1176</v>
      </c>
      <c r="D12" s="180">
        <f t="shared" si="0"/>
        <v>4900000</v>
      </c>
      <c r="E12" s="179">
        <v>0</v>
      </c>
      <c r="F12" s="179">
        <v>0</v>
      </c>
      <c r="G12" s="179">
        <v>0</v>
      </c>
      <c r="H12" s="179">
        <v>0</v>
      </c>
      <c r="I12" s="179">
        <v>4900000</v>
      </c>
      <c r="J12" s="179">
        <v>0</v>
      </c>
      <c r="K12" s="179">
        <v>0</v>
      </c>
      <c r="L12" s="179">
        <v>0</v>
      </c>
      <c r="M12" s="180">
        <f t="shared" si="2"/>
        <v>4900000</v>
      </c>
      <c r="N12" s="179">
        <v>0</v>
      </c>
      <c r="O12" s="179">
        <v>0</v>
      </c>
      <c r="P12" s="179">
        <v>0</v>
      </c>
      <c r="Q12" s="179">
        <v>0</v>
      </c>
      <c r="R12" s="179">
        <v>4900000</v>
      </c>
      <c r="S12" s="179">
        <v>0</v>
      </c>
      <c r="T12" s="179">
        <v>0</v>
      </c>
      <c r="U12" s="179">
        <v>0</v>
      </c>
      <c r="V12" s="317" t="s">
        <v>1518</v>
      </c>
    </row>
    <row r="13" spans="1:22" ht="20.25">
      <c r="A13" s="161"/>
      <c r="B13" s="161" t="s">
        <v>769</v>
      </c>
      <c r="C13" s="184" t="s">
        <v>1177</v>
      </c>
      <c r="D13" s="180">
        <f t="shared" si="0"/>
        <v>0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80">
        <f t="shared" si="2"/>
        <v>0</v>
      </c>
      <c r="N13" s="179">
        <v>0</v>
      </c>
      <c r="O13" s="179">
        <v>0</v>
      </c>
      <c r="P13" s="179">
        <v>0</v>
      </c>
      <c r="Q13" s="179">
        <v>0</v>
      </c>
      <c r="R13" s="179">
        <v>0</v>
      </c>
      <c r="S13" s="179">
        <v>0</v>
      </c>
      <c r="T13" s="179">
        <v>0</v>
      </c>
      <c r="U13" s="179">
        <v>0</v>
      </c>
      <c r="V13" s="317" t="s">
        <v>1519</v>
      </c>
    </row>
    <row r="14" spans="1:22" ht="30">
      <c r="A14" s="161"/>
      <c r="B14" s="161" t="s">
        <v>770</v>
      </c>
      <c r="C14" s="185" t="s">
        <v>771</v>
      </c>
      <c r="D14" s="180">
        <f t="shared" si="0"/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80">
        <f t="shared" si="2"/>
        <v>0</v>
      </c>
      <c r="N14" s="179">
        <v>0</v>
      </c>
      <c r="O14" s="179">
        <v>0</v>
      </c>
      <c r="P14" s="179">
        <v>0</v>
      </c>
      <c r="Q14" s="179">
        <v>0</v>
      </c>
      <c r="R14" s="179">
        <v>0</v>
      </c>
      <c r="S14" s="179">
        <v>0</v>
      </c>
      <c r="T14" s="179">
        <v>0</v>
      </c>
      <c r="U14" s="179">
        <v>0</v>
      </c>
      <c r="V14" s="318" t="s">
        <v>1501</v>
      </c>
    </row>
    <row r="15" spans="1:22" ht="20.25">
      <c r="A15" s="161"/>
      <c r="B15" s="161" t="s">
        <v>772</v>
      </c>
      <c r="C15" s="185" t="s">
        <v>896</v>
      </c>
      <c r="D15" s="180">
        <f t="shared" si="0"/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0">
        <f t="shared" si="2"/>
        <v>0</v>
      </c>
      <c r="N15" s="179">
        <v>0</v>
      </c>
      <c r="O15" s="179">
        <v>0</v>
      </c>
      <c r="P15" s="179">
        <v>0</v>
      </c>
      <c r="Q15" s="179">
        <v>0</v>
      </c>
      <c r="R15" s="179">
        <v>0</v>
      </c>
      <c r="S15" s="179">
        <v>0</v>
      </c>
      <c r="T15" s="179">
        <v>0</v>
      </c>
      <c r="U15" s="179">
        <v>0</v>
      </c>
      <c r="V15" s="318" t="s">
        <v>1502</v>
      </c>
    </row>
    <row r="16" spans="1:22" ht="20.25">
      <c r="A16" s="161"/>
      <c r="B16" s="161" t="s">
        <v>773</v>
      </c>
      <c r="C16" s="185" t="s">
        <v>897</v>
      </c>
      <c r="D16" s="180">
        <f t="shared" si="0"/>
        <v>50000000</v>
      </c>
      <c r="E16" s="179">
        <v>0</v>
      </c>
      <c r="F16" s="179">
        <v>0</v>
      </c>
      <c r="G16" s="179">
        <v>0</v>
      </c>
      <c r="H16" s="179">
        <v>0</v>
      </c>
      <c r="I16" s="179">
        <v>50000000</v>
      </c>
      <c r="J16" s="179">
        <v>0</v>
      </c>
      <c r="K16" s="179">
        <v>0</v>
      </c>
      <c r="L16" s="179">
        <v>0</v>
      </c>
      <c r="M16" s="180">
        <f t="shared" si="2"/>
        <v>50000000</v>
      </c>
      <c r="N16" s="179">
        <v>0</v>
      </c>
      <c r="O16" s="179">
        <v>0</v>
      </c>
      <c r="P16" s="179">
        <v>0</v>
      </c>
      <c r="Q16" s="179">
        <v>0</v>
      </c>
      <c r="R16" s="179">
        <v>50000000</v>
      </c>
      <c r="S16" s="179">
        <v>0</v>
      </c>
      <c r="T16" s="179">
        <v>0</v>
      </c>
      <c r="U16" s="179">
        <v>0</v>
      </c>
      <c r="V16" s="318" t="s">
        <v>1503</v>
      </c>
    </row>
    <row r="17" spans="1:22" ht="20.25">
      <c r="A17" s="161"/>
      <c r="B17" s="161" t="s">
        <v>774</v>
      </c>
      <c r="C17" s="185" t="s">
        <v>775</v>
      </c>
      <c r="D17" s="180">
        <f>SUM(E17:L17)</f>
        <v>50000000</v>
      </c>
      <c r="E17" s="179">
        <v>0</v>
      </c>
      <c r="F17" s="179">
        <v>0</v>
      </c>
      <c r="G17" s="179">
        <v>0</v>
      </c>
      <c r="H17" s="179">
        <v>0</v>
      </c>
      <c r="I17" s="179">
        <v>50000000</v>
      </c>
      <c r="J17" s="179">
        <v>0</v>
      </c>
      <c r="K17" s="179">
        <v>0</v>
      </c>
      <c r="L17" s="179">
        <v>0</v>
      </c>
      <c r="M17" s="180">
        <f aca="true" t="shared" si="3" ref="M17:M24">SUM(N17:U17)</f>
        <v>139000000</v>
      </c>
      <c r="N17" s="179">
        <v>0</v>
      </c>
      <c r="O17" s="179">
        <v>0</v>
      </c>
      <c r="P17" s="179">
        <v>0</v>
      </c>
      <c r="Q17" s="179">
        <v>0</v>
      </c>
      <c r="R17" s="179">
        <f>50000000+89000000</f>
        <v>139000000</v>
      </c>
      <c r="S17" s="179">
        <v>0</v>
      </c>
      <c r="T17" s="179">
        <v>0</v>
      </c>
      <c r="U17" s="179">
        <v>0</v>
      </c>
      <c r="V17" s="318" t="s">
        <v>1504</v>
      </c>
    </row>
    <row r="18" spans="1:22" ht="20.25">
      <c r="A18" s="161"/>
      <c r="B18" s="161" t="s">
        <v>776</v>
      </c>
      <c r="C18" s="185" t="s">
        <v>777</v>
      </c>
      <c r="D18" s="180">
        <f t="shared" si="0"/>
        <v>0</v>
      </c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80">
        <f t="shared" si="3"/>
        <v>0</v>
      </c>
      <c r="N18" s="179">
        <v>0</v>
      </c>
      <c r="O18" s="179">
        <v>0</v>
      </c>
      <c r="P18" s="179">
        <v>0</v>
      </c>
      <c r="Q18" s="179">
        <v>0</v>
      </c>
      <c r="R18" s="179">
        <v>0</v>
      </c>
      <c r="S18" s="179">
        <v>0</v>
      </c>
      <c r="T18" s="179">
        <v>0</v>
      </c>
      <c r="U18" s="179">
        <v>0</v>
      </c>
      <c r="V18" s="318" t="s">
        <v>1505</v>
      </c>
    </row>
    <row r="19" spans="1:22" ht="20.25">
      <c r="A19" s="161"/>
      <c r="B19" s="161" t="s">
        <v>778</v>
      </c>
      <c r="C19" s="185" t="s">
        <v>779</v>
      </c>
      <c r="D19" s="180">
        <f t="shared" si="0"/>
        <v>2185000</v>
      </c>
      <c r="E19" s="179">
        <v>0</v>
      </c>
      <c r="F19" s="179">
        <v>0</v>
      </c>
      <c r="G19" s="179">
        <v>0</v>
      </c>
      <c r="H19" s="179">
        <v>0</v>
      </c>
      <c r="I19" s="179">
        <v>2185000</v>
      </c>
      <c r="J19" s="179">
        <v>0</v>
      </c>
      <c r="K19" s="179">
        <v>0</v>
      </c>
      <c r="L19" s="179">
        <v>0</v>
      </c>
      <c r="M19" s="180">
        <f t="shared" si="3"/>
        <v>2185000</v>
      </c>
      <c r="N19" s="179">
        <v>0</v>
      </c>
      <c r="O19" s="179">
        <v>0</v>
      </c>
      <c r="P19" s="179">
        <v>0</v>
      </c>
      <c r="Q19" s="179">
        <v>0</v>
      </c>
      <c r="R19" s="179">
        <v>2185000</v>
      </c>
      <c r="S19" s="179">
        <v>0</v>
      </c>
      <c r="T19" s="179">
        <v>0</v>
      </c>
      <c r="U19" s="179">
        <v>0</v>
      </c>
      <c r="V19" s="318" t="s">
        <v>1506</v>
      </c>
    </row>
    <row r="20" spans="1:22" ht="20.25">
      <c r="A20" s="161"/>
      <c r="B20" s="161" t="s">
        <v>780</v>
      </c>
      <c r="C20" s="185" t="s">
        <v>781</v>
      </c>
      <c r="D20" s="180">
        <f t="shared" si="0"/>
        <v>3800000</v>
      </c>
      <c r="E20" s="179">
        <v>0</v>
      </c>
      <c r="F20" s="179">
        <v>0</v>
      </c>
      <c r="G20" s="179">
        <v>0</v>
      </c>
      <c r="H20" s="179">
        <v>0</v>
      </c>
      <c r="I20" s="179">
        <v>3800000</v>
      </c>
      <c r="J20" s="179">
        <v>0</v>
      </c>
      <c r="K20" s="179">
        <v>0</v>
      </c>
      <c r="L20" s="179">
        <v>0</v>
      </c>
      <c r="M20" s="180">
        <f t="shared" si="3"/>
        <v>3800000</v>
      </c>
      <c r="N20" s="179">
        <v>0</v>
      </c>
      <c r="O20" s="179">
        <v>0</v>
      </c>
      <c r="P20" s="179">
        <v>0</v>
      </c>
      <c r="Q20" s="179">
        <v>0</v>
      </c>
      <c r="R20" s="179">
        <v>3800000</v>
      </c>
      <c r="S20" s="179">
        <v>0</v>
      </c>
      <c r="T20" s="179">
        <v>0</v>
      </c>
      <c r="U20" s="179">
        <v>0</v>
      </c>
      <c r="V20" s="318" t="s">
        <v>1507</v>
      </c>
    </row>
    <row r="21" spans="1:22" ht="20.25">
      <c r="A21" s="161"/>
      <c r="B21" s="161" t="s">
        <v>1128</v>
      </c>
      <c r="C21" s="185" t="s">
        <v>1189</v>
      </c>
      <c r="D21" s="180">
        <f>SUM(E21:L21)</f>
        <v>7249693</v>
      </c>
      <c r="E21" s="179">
        <v>0</v>
      </c>
      <c r="F21" s="179">
        <v>0</v>
      </c>
      <c r="G21" s="179">
        <v>0</v>
      </c>
      <c r="H21" s="179">
        <v>0</v>
      </c>
      <c r="I21" s="179">
        <v>7249693</v>
      </c>
      <c r="J21" s="179">
        <v>0</v>
      </c>
      <c r="K21" s="179">
        <v>0</v>
      </c>
      <c r="L21" s="179">
        <v>0</v>
      </c>
      <c r="M21" s="180">
        <f t="shared" si="3"/>
        <v>7249693</v>
      </c>
      <c r="N21" s="179">
        <v>0</v>
      </c>
      <c r="O21" s="179">
        <v>0</v>
      </c>
      <c r="P21" s="179">
        <v>0</v>
      </c>
      <c r="Q21" s="179">
        <v>0</v>
      </c>
      <c r="R21" s="179">
        <v>7249693</v>
      </c>
      <c r="S21" s="179">
        <v>0</v>
      </c>
      <c r="T21" s="179">
        <v>0</v>
      </c>
      <c r="U21" s="179">
        <v>0</v>
      </c>
      <c r="V21" s="317">
        <v>59011</v>
      </c>
    </row>
    <row r="22" spans="1:22" ht="20.25">
      <c r="A22" s="161" t="s">
        <v>173</v>
      </c>
      <c r="B22" s="161"/>
      <c r="C22" s="162" t="s">
        <v>42</v>
      </c>
      <c r="D22" s="182">
        <f t="shared" si="0"/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83">
        <v>0</v>
      </c>
      <c r="L22" s="183">
        <v>0</v>
      </c>
      <c r="M22" s="182">
        <f t="shared" si="3"/>
        <v>0</v>
      </c>
      <c r="N22" s="183">
        <v>0</v>
      </c>
      <c r="O22" s="183">
        <v>0</v>
      </c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326"/>
    </row>
    <row r="23" spans="1:22" ht="20.25">
      <c r="A23" s="161" t="s">
        <v>174</v>
      </c>
      <c r="B23" s="161"/>
      <c r="C23" s="162" t="s">
        <v>44</v>
      </c>
      <c r="D23" s="182">
        <f t="shared" si="0"/>
        <v>0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83">
        <v>0</v>
      </c>
      <c r="L23" s="182">
        <v>0</v>
      </c>
      <c r="M23" s="182">
        <f t="shared" si="3"/>
        <v>0</v>
      </c>
      <c r="N23" s="183">
        <v>0</v>
      </c>
      <c r="O23" s="183">
        <v>0</v>
      </c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2">
        <v>0</v>
      </c>
      <c r="V23" s="326"/>
    </row>
    <row r="24" spans="1:22" ht="30.75" customHeight="1">
      <c r="A24" s="407" t="s">
        <v>315</v>
      </c>
      <c r="B24" s="407"/>
      <c r="C24" s="407"/>
      <c r="D24" s="182">
        <f t="shared" si="0"/>
        <v>118134693</v>
      </c>
      <c r="E24" s="183">
        <f aca="true" t="shared" si="4" ref="E24:L24">E10+E22+E23</f>
        <v>0</v>
      </c>
      <c r="F24" s="183">
        <f t="shared" si="4"/>
        <v>0</v>
      </c>
      <c r="G24" s="183">
        <f t="shared" si="4"/>
        <v>0</v>
      </c>
      <c r="H24" s="183">
        <f t="shared" si="4"/>
        <v>0</v>
      </c>
      <c r="I24" s="183">
        <f>I10+I22+I23</f>
        <v>118134693</v>
      </c>
      <c r="J24" s="183">
        <f t="shared" si="4"/>
        <v>0</v>
      </c>
      <c r="K24" s="183">
        <f t="shared" si="4"/>
        <v>0</v>
      </c>
      <c r="L24" s="183">
        <f t="shared" si="4"/>
        <v>0</v>
      </c>
      <c r="M24" s="182">
        <f t="shared" si="3"/>
        <v>207134693</v>
      </c>
      <c r="N24" s="183">
        <f aca="true" t="shared" si="5" ref="N24:U24">N10+N22+N23</f>
        <v>0</v>
      </c>
      <c r="O24" s="183">
        <f t="shared" si="5"/>
        <v>0</v>
      </c>
      <c r="P24" s="183">
        <f t="shared" si="5"/>
        <v>0</v>
      </c>
      <c r="Q24" s="183">
        <f t="shared" si="5"/>
        <v>0</v>
      </c>
      <c r="R24" s="183">
        <f t="shared" si="5"/>
        <v>207134693</v>
      </c>
      <c r="S24" s="183">
        <f t="shared" si="5"/>
        <v>0</v>
      </c>
      <c r="T24" s="183">
        <f t="shared" si="5"/>
        <v>0</v>
      </c>
      <c r="U24" s="183">
        <f t="shared" si="5"/>
        <v>0</v>
      </c>
      <c r="V24" s="326"/>
    </row>
    <row r="26" ht="12" customHeight="1"/>
  </sheetData>
  <sheetProtection selectLockedCells="1" selectUnlockedCells="1"/>
  <mergeCells count="17">
    <mergeCell ref="A1:V1"/>
    <mergeCell ref="E7:L7"/>
    <mergeCell ref="E8:I8"/>
    <mergeCell ref="J8:L8"/>
    <mergeCell ref="V7:V10"/>
    <mergeCell ref="N7:U7"/>
    <mergeCell ref="N8:R8"/>
    <mergeCell ref="S8:U8"/>
    <mergeCell ref="A4:V4"/>
    <mergeCell ref="A2:V2"/>
    <mergeCell ref="A3:V3"/>
    <mergeCell ref="A24:C24"/>
    <mergeCell ref="A7:A9"/>
    <mergeCell ref="B7:B9"/>
    <mergeCell ref="C7:C9"/>
    <mergeCell ref="D7:D9"/>
    <mergeCell ref="M7:M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W18"/>
  <sheetViews>
    <sheetView view="pageBreakPreview" zoomScale="75" zoomScaleNormal="74" zoomScaleSheetLayoutView="75" zoomScalePageLayoutView="0" workbookViewId="0" topLeftCell="A1">
      <selection activeCell="R5" sqref="R5"/>
    </sheetView>
  </sheetViews>
  <sheetFormatPr defaultColWidth="9.140625" defaultRowHeight="12.75" customHeight="1"/>
  <cols>
    <col min="1" max="1" width="3.28125" style="35" customWidth="1"/>
    <col min="2" max="2" width="4.57421875" style="35" customWidth="1"/>
    <col min="3" max="3" width="5.57421875" style="35" customWidth="1"/>
    <col min="4" max="4" width="16.28125" style="35" customWidth="1"/>
    <col min="5" max="5" width="13.57421875" style="35" customWidth="1"/>
    <col min="6" max="6" width="15.28125" style="35" customWidth="1"/>
    <col min="7" max="7" width="11.57421875" style="35" customWidth="1"/>
    <col min="8" max="8" width="6.140625" style="35" customWidth="1"/>
    <col min="9" max="9" width="17.00390625" style="35" customWidth="1"/>
    <col min="10" max="10" width="13.00390625" style="35" customWidth="1"/>
    <col min="11" max="11" width="15.57421875" style="35" customWidth="1"/>
    <col min="12" max="12" width="13.7109375" style="35" customWidth="1"/>
    <col min="13" max="13" width="12.00390625" style="35" customWidth="1"/>
    <col min="14" max="14" width="15.7109375" style="35" customWidth="1"/>
    <col min="15" max="18" width="16.140625" style="35" customWidth="1"/>
    <col min="19" max="153" width="9.140625" style="35" customWidth="1"/>
    <col min="154" max="179" width="9.140625" style="36" customWidth="1"/>
  </cols>
  <sheetData>
    <row r="1" spans="1:205" ht="13.5" customHeight="1">
      <c r="A1" s="371" t="s">
        <v>951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28"/>
      <c r="T1" s="328"/>
      <c r="U1" s="328"/>
      <c r="V1" s="328"/>
      <c r="W1" s="328"/>
      <c r="X1" s="328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Q1" s="37"/>
      <c r="FR1" s="37"/>
      <c r="FS1" s="37"/>
      <c r="FT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</row>
    <row r="2" spans="1:205" ht="13.5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Q2" s="37"/>
      <c r="FR2" s="37"/>
      <c r="FS2" s="37"/>
      <c r="FT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</row>
    <row r="3" spans="1:205" ht="15.75" customHeight="1">
      <c r="A3" s="369" t="s">
        <v>179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29"/>
      <c r="T3" s="329"/>
      <c r="U3" s="329"/>
      <c r="V3" s="329"/>
      <c r="W3" s="329"/>
      <c r="X3" s="329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Q3" s="37"/>
      <c r="FR3" s="37"/>
      <c r="FS3" s="37"/>
      <c r="FT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</row>
    <row r="4" spans="1:24" s="37" customFormat="1" ht="20.25" customHeight="1">
      <c r="A4" s="372" t="s">
        <v>211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30"/>
      <c r="T4" s="330"/>
      <c r="U4" s="330"/>
      <c r="V4" s="330"/>
      <c r="W4" s="330"/>
      <c r="X4" s="330"/>
    </row>
    <row r="5" spans="4:18" s="37" customFormat="1" ht="13.5" customHeight="1">
      <c r="D5" s="39"/>
      <c r="E5" s="39"/>
      <c r="F5" s="39"/>
      <c r="G5" s="39"/>
      <c r="H5" s="39"/>
      <c r="I5" s="39"/>
      <c r="J5" s="39"/>
      <c r="K5" s="39"/>
      <c r="L5" s="39"/>
      <c r="M5" s="39"/>
      <c r="R5" s="341" t="s">
        <v>1</v>
      </c>
    </row>
    <row r="6" spans="1:18" ht="12.75" customHeight="1">
      <c r="A6" s="41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1" t="s">
        <v>12</v>
      </c>
      <c r="L6" s="41" t="s">
        <v>13</v>
      </c>
      <c r="M6" s="41" t="s">
        <v>14</v>
      </c>
      <c r="N6" s="41" t="s">
        <v>15</v>
      </c>
      <c r="O6" s="41" t="s">
        <v>16</v>
      </c>
      <c r="P6" s="41" t="s">
        <v>17</v>
      </c>
      <c r="Q6" s="41" t="s">
        <v>18</v>
      </c>
      <c r="R6" s="41" t="s">
        <v>19</v>
      </c>
    </row>
    <row r="7" spans="1:18" ht="12.75" customHeight="1">
      <c r="A7" s="374" t="s">
        <v>23</v>
      </c>
      <c r="B7" s="373" t="s">
        <v>185</v>
      </c>
      <c r="C7" s="373" t="s">
        <v>186</v>
      </c>
      <c r="D7" s="375" t="s">
        <v>1091</v>
      </c>
      <c r="E7" s="375" t="s">
        <v>187</v>
      </c>
      <c r="F7" s="375" t="s">
        <v>188</v>
      </c>
      <c r="G7" s="375" t="s">
        <v>189</v>
      </c>
      <c r="H7" s="377" t="s">
        <v>190</v>
      </c>
      <c r="I7" s="375" t="s">
        <v>212</v>
      </c>
      <c r="J7" s="375" t="s">
        <v>192</v>
      </c>
      <c r="K7" s="376" t="s">
        <v>26</v>
      </c>
      <c r="L7" s="376"/>
      <c r="M7" s="376"/>
      <c r="N7" s="376"/>
      <c r="O7" s="376" t="s">
        <v>26</v>
      </c>
      <c r="P7" s="376"/>
      <c r="Q7" s="376"/>
      <c r="R7" s="376"/>
    </row>
    <row r="8" spans="1:18" ht="66" customHeight="1">
      <c r="A8" s="374"/>
      <c r="B8" s="374"/>
      <c r="C8" s="374"/>
      <c r="D8" s="375"/>
      <c r="E8" s="375"/>
      <c r="F8" s="375"/>
      <c r="G8" s="375"/>
      <c r="H8" s="377"/>
      <c r="I8" s="375"/>
      <c r="J8" s="375"/>
      <c r="K8" s="375" t="s">
        <v>213</v>
      </c>
      <c r="L8" s="375" t="s">
        <v>214</v>
      </c>
      <c r="M8" s="375" t="s">
        <v>215</v>
      </c>
      <c r="N8" s="375" t="s">
        <v>195</v>
      </c>
      <c r="O8" s="375" t="s">
        <v>213</v>
      </c>
      <c r="P8" s="375" t="s">
        <v>214</v>
      </c>
      <c r="Q8" s="375" t="s">
        <v>215</v>
      </c>
      <c r="R8" s="375" t="s">
        <v>195</v>
      </c>
    </row>
    <row r="9" spans="1:18" s="44" customFormat="1" ht="24.75" customHeight="1">
      <c r="A9" s="374"/>
      <c r="B9" s="374"/>
      <c r="C9" s="374"/>
      <c r="D9" s="375"/>
      <c r="E9" s="375"/>
      <c r="F9" s="375"/>
      <c r="G9" s="375"/>
      <c r="H9" s="377"/>
      <c r="I9" s="375"/>
      <c r="J9" s="375"/>
      <c r="K9" s="375"/>
      <c r="L9" s="375"/>
      <c r="M9" s="375"/>
      <c r="N9" s="375"/>
      <c r="O9" s="375"/>
      <c r="P9" s="375"/>
      <c r="Q9" s="375"/>
      <c r="R9" s="375"/>
    </row>
    <row r="10" spans="1:18" ht="15" customHeight="1">
      <c r="A10" s="65"/>
      <c r="B10" s="45" t="s">
        <v>216</v>
      </c>
      <c r="C10" s="66"/>
      <c r="D10" s="363" t="s">
        <v>201</v>
      </c>
      <c r="E10" s="363"/>
      <c r="F10" s="363"/>
      <c r="G10" s="47"/>
      <c r="H10" s="48"/>
      <c r="I10" s="49">
        <f>SUM(I11:I14)</f>
        <v>50500000000</v>
      </c>
      <c r="J10" s="47"/>
      <c r="K10" s="58">
        <f>SUM(K11:K11)</f>
        <v>0</v>
      </c>
      <c r="L10" s="58">
        <f>SUM(L11:L14)</f>
        <v>246281250</v>
      </c>
      <c r="M10" s="58">
        <f>SUM(M11:M14)</f>
        <v>0</v>
      </c>
      <c r="N10" s="58">
        <f>SUM(N11:N14)</f>
        <v>246281250</v>
      </c>
      <c r="O10" s="58">
        <f>SUM(O11:O11)</f>
        <v>0</v>
      </c>
      <c r="P10" s="58">
        <f>SUM(P11:P14)</f>
        <v>246281250</v>
      </c>
      <c r="Q10" s="58">
        <f>SUM(Q11:Q14)</f>
        <v>0</v>
      </c>
      <c r="R10" s="58">
        <f>SUM(R11:R14)</f>
        <v>246281250</v>
      </c>
    </row>
    <row r="11" spans="1:18" s="44" customFormat="1" ht="38.25" customHeight="1">
      <c r="A11" s="67"/>
      <c r="B11" s="50"/>
      <c r="C11" s="50" t="s">
        <v>817</v>
      </c>
      <c r="D11" s="51" t="s">
        <v>203</v>
      </c>
      <c r="E11" s="52" t="s">
        <v>204</v>
      </c>
      <c r="F11" s="52">
        <v>42633</v>
      </c>
      <c r="G11" s="52">
        <v>44276</v>
      </c>
      <c r="H11" s="53" t="s">
        <v>202</v>
      </c>
      <c r="I11" s="54">
        <v>1000000000</v>
      </c>
      <c r="J11" s="54"/>
      <c r="K11" s="56">
        <v>0</v>
      </c>
      <c r="L11" s="56">
        <v>15000000</v>
      </c>
      <c r="M11" s="56">
        <v>0</v>
      </c>
      <c r="N11" s="58">
        <f aca="true" t="shared" si="0" ref="N11:N17">SUM(K11:M11)</f>
        <v>15000000</v>
      </c>
      <c r="O11" s="56">
        <v>0</v>
      </c>
      <c r="P11" s="56">
        <v>15000000</v>
      </c>
      <c r="Q11" s="56">
        <v>0</v>
      </c>
      <c r="R11" s="58">
        <f aca="true" t="shared" si="1" ref="R11:R17">SUM(O11:Q11)</f>
        <v>15000000</v>
      </c>
    </row>
    <row r="12" spans="1:18" s="44" customFormat="1" ht="38.25" customHeight="1">
      <c r="A12" s="67"/>
      <c r="B12" s="50"/>
      <c r="C12" s="50" t="s">
        <v>933</v>
      </c>
      <c r="D12" s="51" t="s">
        <v>818</v>
      </c>
      <c r="E12" s="52" t="s">
        <v>204</v>
      </c>
      <c r="F12" s="52">
        <v>42887</v>
      </c>
      <c r="G12" s="52">
        <v>47116</v>
      </c>
      <c r="H12" s="53" t="s">
        <v>202</v>
      </c>
      <c r="I12" s="54">
        <v>3000000000</v>
      </c>
      <c r="J12" s="54"/>
      <c r="K12" s="56">
        <v>0</v>
      </c>
      <c r="L12" s="56">
        <v>36000000</v>
      </c>
      <c r="M12" s="56">
        <v>0</v>
      </c>
      <c r="N12" s="58">
        <f t="shared" si="0"/>
        <v>36000000</v>
      </c>
      <c r="O12" s="56">
        <v>0</v>
      </c>
      <c r="P12" s="56">
        <v>36000000</v>
      </c>
      <c r="Q12" s="56">
        <v>0</v>
      </c>
      <c r="R12" s="58">
        <f t="shared" si="1"/>
        <v>36000000</v>
      </c>
    </row>
    <row r="13" spans="1:18" s="44" customFormat="1" ht="38.25" customHeight="1">
      <c r="A13" s="67"/>
      <c r="B13" s="50"/>
      <c r="C13" s="50" t="s">
        <v>934</v>
      </c>
      <c r="D13" s="51" t="s">
        <v>1092</v>
      </c>
      <c r="E13" s="52" t="s">
        <v>204</v>
      </c>
      <c r="F13" s="52">
        <v>43277</v>
      </c>
      <c r="G13" s="52">
        <v>47848</v>
      </c>
      <c r="H13" s="53" t="s">
        <v>202</v>
      </c>
      <c r="I13" s="54">
        <v>2500000000</v>
      </c>
      <c r="J13" s="54"/>
      <c r="K13" s="56">
        <v>0</v>
      </c>
      <c r="L13" s="56">
        <v>75281250</v>
      </c>
      <c r="M13" s="56"/>
      <c r="N13" s="58">
        <f t="shared" si="0"/>
        <v>75281250</v>
      </c>
      <c r="O13" s="56">
        <v>0</v>
      </c>
      <c r="P13" s="56">
        <v>75281250</v>
      </c>
      <c r="Q13" s="56"/>
      <c r="R13" s="58">
        <f t="shared" si="1"/>
        <v>75281250</v>
      </c>
    </row>
    <row r="14" spans="1:18" s="44" customFormat="1" ht="38.25" customHeight="1">
      <c r="A14" s="67"/>
      <c r="B14" s="50"/>
      <c r="C14" s="50" t="s">
        <v>1098</v>
      </c>
      <c r="D14" s="51" t="s">
        <v>1114</v>
      </c>
      <c r="E14" s="52" t="s">
        <v>1115</v>
      </c>
      <c r="F14" s="52">
        <v>43363</v>
      </c>
      <c r="G14" s="52">
        <v>45289</v>
      </c>
      <c r="H14" s="53" t="s">
        <v>202</v>
      </c>
      <c r="I14" s="54">
        <v>44000000000</v>
      </c>
      <c r="J14" s="54"/>
      <c r="K14" s="56">
        <v>0</v>
      </c>
      <c r="L14" s="77">
        <v>120000000</v>
      </c>
      <c r="M14" s="56">
        <v>0</v>
      </c>
      <c r="N14" s="58">
        <f t="shared" si="0"/>
        <v>120000000</v>
      </c>
      <c r="O14" s="56">
        <v>0</v>
      </c>
      <c r="P14" s="77">
        <v>120000000</v>
      </c>
      <c r="Q14" s="56">
        <v>0</v>
      </c>
      <c r="R14" s="58">
        <f t="shared" si="1"/>
        <v>120000000</v>
      </c>
    </row>
    <row r="15" spans="1:18" ht="15" customHeight="1">
      <c r="A15" s="65"/>
      <c r="B15" s="45" t="s">
        <v>217</v>
      </c>
      <c r="C15" s="45"/>
      <c r="D15" s="363" t="s">
        <v>205</v>
      </c>
      <c r="E15" s="363"/>
      <c r="F15" s="363"/>
      <c r="G15" s="47"/>
      <c r="H15" s="48"/>
      <c r="I15" s="58">
        <f>SUM(I16:I17)</f>
        <v>2800000000</v>
      </c>
      <c r="J15" s="58">
        <f>SUM(J16:J16)</f>
        <v>0</v>
      </c>
      <c r="K15" s="58">
        <f>SUM(K16:K16)</f>
        <v>0</v>
      </c>
      <c r="L15" s="58">
        <f>SUM(L16:L16)</f>
        <v>9000000</v>
      </c>
      <c r="M15" s="58">
        <f>SUM(M16:M16)</f>
        <v>5000000</v>
      </c>
      <c r="N15" s="58">
        <f t="shared" si="0"/>
        <v>14000000</v>
      </c>
      <c r="O15" s="58">
        <f>SUM(O16:O16)</f>
        <v>0</v>
      </c>
      <c r="P15" s="58">
        <f>SUM(P16:P16)</f>
        <v>9000000</v>
      </c>
      <c r="Q15" s="58">
        <f>SUM(Q16:Q16)</f>
        <v>5000000</v>
      </c>
      <c r="R15" s="58">
        <f t="shared" si="1"/>
        <v>14000000</v>
      </c>
    </row>
    <row r="16" spans="1:18" s="44" customFormat="1" ht="35.25" customHeight="1">
      <c r="A16" s="67"/>
      <c r="B16" s="50"/>
      <c r="C16" s="50" t="s">
        <v>218</v>
      </c>
      <c r="D16" s="59" t="s">
        <v>207</v>
      </c>
      <c r="E16" s="51" t="s">
        <v>204</v>
      </c>
      <c r="F16" s="60">
        <v>43446</v>
      </c>
      <c r="G16" s="52">
        <v>43830</v>
      </c>
      <c r="H16" s="53" t="s">
        <v>202</v>
      </c>
      <c r="I16" s="54">
        <v>2500000000</v>
      </c>
      <c r="J16" s="54"/>
      <c r="K16" s="62">
        <v>0</v>
      </c>
      <c r="L16" s="62">
        <v>9000000</v>
      </c>
      <c r="M16" s="62">
        <v>5000000</v>
      </c>
      <c r="N16" s="58">
        <f t="shared" si="0"/>
        <v>14000000</v>
      </c>
      <c r="O16" s="62">
        <v>0</v>
      </c>
      <c r="P16" s="62">
        <v>9000000</v>
      </c>
      <c r="Q16" s="62">
        <v>5000000</v>
      </c>
      <c r="R16" s="58">
        <f t="shared" si="1"/>
        <v>14000000</v>
      </c>
    </row>
    <row r="17" spans="1:18" s="44" customFormat="1" ht="35.25" customHeight="1">
      <c r="A17" s="67"/>
      <c r="B17" s="50"/>
      <c r="C17" s="50" t="s">
        <v>219</v>
      </c>
      <c r="D17" s="59" t="s">
        <v>209</v>
      </c>
      <c r="E17" s="51" t="s">
        <v>204</v>
      </c>
      <c r="F17" s="60">
        <v>43446</v>
      </c>
      <c r="G17" s="52">
        <v>43819</v>
      </c>
      <c r="H17" s="53" t="s">
        <v>202</v>
      </c>
      <c r="I17" s="54">
        <v>300000000</v>
      </c>
      <c r="J17" s="54"/>
      <c r="K17" s="62">
        <v>0</v>
      </c>
      <c r="L17" s="54">
        <v>0</v>
      </c>
      <c r="M17" s="54">
        <v>0</v>
      </c>
      <c r="N17" s="58">
        <f t="shared" si="0"/>
        <v>0</v>
      </c>
      <c r="O17" s="62">
        <v>0</v>
      </c>
      <c r="P17" s="54">
        <v>0</v>
      </c>
      <c r="Q17" s="54">
        <v>0</v>
      </c>
      <c r="R17" s="58">
        <f t="shared" si="1"/>
        <v>0</v>
      </c>
    </row>
    <row r="18" spans="1:18" ht="29.25" customHeight="1">
      <c r="A18" s="366" t="s">
        <v>210</v>
      </c>
      <c r="B18" s="366"/>
      <c r="C18" s="366"/>
      <c r="D18" s="366"/>
      <c r="E18" s="366"/>
      <c r="F18" s="366"/>
      <c r="G18" s="366"/>
      <c r="H18" s="64"/>
      <c r="I18" s="63"/>
      <c r="J18" s="63"/>
      <c r="K18" s="63">
        <f aca="true" t="shared" si="2" ref="K18:R18">K10+K15</f>
        <v>0</v>
      </c>
      <c r="L18" s="63">
        <f t="shared" si="2"/>
        <v>255281250</v>
      </c>
      <c r="M18" s="63">
        <f t="shared" si="2"/>
        <v>5000000</v>
      </c>
      <c r="N18" s="63">
        <f t="shared" si="2"/>
        <v>260281250</v>
      </c>
      <c r="O18" s="63">
        <f t="shared" si="2"/>
        <v>0</v>
      </c>
      <c r="P18" s="63">
        <f t="shared" si="2"/>
        <v>255281250</v>
      </c>
      <c r="Q18" s="63">
        <f t="shared" si="2"/>
        <v>5000000</v>
      </c>
      <c r="R18" s="63">
        <f t="shared" si="2"/>
        <v>260281250</v>
      </c>
    </row>
  </sheetData>
  <sheetProtection selectLockedCells="1" selectUnlockedCells="1"/>
  <mergeCells count="27">
    <mergeCell ref="A2:N2"/>
    <mergeCell ref="N8:N9"/>
    <mergeCell ref="D7:D9"/>
    <mergeCell ref="I7:I9"/>
    <mergeCell ref="K7:N7"/>
    <mergeCell ref="K8:K9"/>
    <mergeCell ref="F7:F9"/>
    <mergeCell ref="B7:B9"/>
    <mergeCell ref="A7:A9"/>
    <mergeCell ref="L8:L9"/>
    <mergeCell ref="M8:M9"/>
    <mergeCell ref="A18:G18"/>
    <mergeCell ref="D10:F10"/>
    <mergeCell ref="D15:F15"/>
    <mergeCell ref="G7:G9"/>
    <mergeCell ref="H7:H9"/>
    <mergeCell ref="J7:J9"/>
    <mergeCell ref="A3:R3"/>
    <mergeCell ref="A1:R1"/>
    <mergeCell ref="A4:R4"/>
    <mergeCell ref="C7:C9"/>
    <mergeCell ref="E7:E9"/>
    <mergeCell ref="O7:R7"/>
    <mergeCell ref="O8:O9"/>
    <mergeCell ref="P8:P9"/>
    <mergeCell ref="Q8:Q9"/>
    <mergeCell ref="R8:R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E16"/>
  <sheetViews>
    <sheetView view="pageBreakPreview" zoomScale="70" zoomScaleNormal="74" zoomScaleSheetLayoutView="70" zoomScalePageLayoutView="0" workbookViewId="0" topLeftCell="A1">
      <selection activeCell="A2" sqref="A2:AN2"/>
    </sheetView>
  </sheetViews>
  <sheetFormatPr defaultColWidth="9.140625" defaultRowHeight="12.75" customHeight="1"/>
  <cols>
    <col min="1" max="1" width="16.00390625" style="68" customWidth="1"/>
    <col min="2" max="2" width="18.140625" style="69" customWidth="1"/>
    <col min="3" max="3" width="12.421875" style="69" customWidth="1"/>
    <col min="4" max="4" width="4.7109375" style="69" customWidth="1"/>
    <col min="5" max="5" width="14.57421875" style="69" bestFit="1" customWidth="1"/>
    <col min="6" max="6" width="13.28125" style="69" customWidth="1"/>
    <col min="7" max="7" width="14.57421875" style="69" bestFit="1" customWidth="1"/>
    <col min="8" max="8" width="13.28125" style="69" customWidth="1"/>
    <col min="9" max="10" width="14.57421875" style="69" bestFit="1" customWidth="1"/>
    <col min="11" max="11" width="17.57421875" style="69" customWidth="1"/>
    <col min="12" max="12" width="14.57421875" style="69" bestFit="1" customWidth="1"/>
    <col min="13" max="13" width="20.7109375" style="69" customWidth="1"/>
    <col min="14" max="14" width="16.8515625" style="69" customWidth="1"/>
    <col min="15" max="15" width="14.57421875" style="69" bestFit="1" customWidth="1"/>
    <col min="16" max="16" width="16.00390625" style="69" bestFit="1" customWidth="1"/>
    <col min="17" max="17" width="17.28125" style="69" customWidth="1"/>
    <col min="18" max="18" width="13.28125" style="69" customWidth="1"/>
    <col min="19" max="19" width="20.8515625" style="69" customWidth="1"/>
    <col min="20" max="22" width="13.28125" style="69" customWidth="1"/>
    <col min="23" max="40" width="14.00390625" style="69" customWidth="1"/>
    <col min="41" max="214" width="9.140625" style="69" customWidth="1"/>
  </cols>
  <sheetData>
    <row r="1" spans="1:40" ht="30" customHeight="1">
      <c r="A1" s="385" t="s">
        <v>1549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</row>
    <row r="2" spans="1:40" ht="32.25" customHeight="1">
      <c r="A2" s="383" t="s">
        <v>179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</row>
    <row r="3" spans="1:213" ht="29.25" customHeight="1">
      <c r="A3" s="384" t="s">
        <v>220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HA3" s="71"/>
      <c r="HB3" s="71"/>
      <c r="HC3" s="71"/>
      <c r="HD3" s="71"/>
      <c r="HE3" s="71"/>
    </row>
    <row r="4" spans="1:213" ht="15.75" customHeight="1">
      <c r="A4" s="72"/>
      <c r="B4" s="72"/>
      <c r="C4" s="72"/>
      <c r="D4" s="72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HA4" s="71"/>
      <c r="HB4" s="71"/>
      <c r="HC4" s="71"/>
      <c r="HD4" s="71"/>
      <c r="HE4" s="71"/>
    </row>
    <row r="5" spans="13:40" s="71" customFormat="1" ht="13.5" customHeight="1">
      <c r="M5" s="73"/>
      <c r="N5" s="73"/>
      <c r="O5" s="73"/>
      <c r="P5" s="73"/>
      <c r="Q5" s="73"/>
      <c r="R5" s="73"/>
      <c r="S5" s="73"/>
      <c r="T5" s="73"/>
      <c r="U5" s="73"/>
      <c r="V5" s="40"/>
      <c r="AH5" s="40"/>
      <c r="AN5" s="312" t="s">
        <v>1</v>
      </c>
    </row>
    <row r="6" spans="1:43" s="71" customFormat="1" ht="15.75" customHeight="1">
      <c r="A6" s="74" t="s">
        <v>2</v>
      </c>
      <c r="B6" s="74" t="s">
        <v>3</v>
      </c>
      <c r="C6" s="74" t="s">
        <v>4</v>
      </c>
      <c r="D6" s="306" t="s">
        <v>5</v>
      </c>
      <c r="E6" s="308" t="s">
        <v>6</v>
      </c>
      <c r="F6" s="308" t="s">
        <v>7</v>
      </c>
      <c r="G6" s="308" t="s">
        <v>8</v>
      </c>
      <c r="H6" s="307" t="s">
        <v>9</v>
      </c>
      <c r="I6" s="74" t="s">
        <v>10</v>
      </c>
      <c r="J6" s="74" t="s">
        <v>11</v>
      </c>
      <c r="K6" s="74" t="s">
        <v>12</v>
      </c>
      <c r="L6" s="74" t="s">
        <v>13</v>
      </c>
      <c r="M6" s="74" t="s">
        <v>14</v>
      </c>
      <c r="N6" s="74" t="s">
        <v>15</v>
      </c>
      <c r="O6" s="74" t="s">
        <v>16</v>
      </c>
      <c r="P6" s="74" t="s">
        <v>17</v>
      </c>
      <c r="Q6" s="74" t="s">
        <v>18</v>
      </c>
      <c r="R6" s="74" t="s">
        <v>19</v>
      </c>
      <c r="S6" s="74" t="s">
        <v>20</v>
      </c>
      <c r="T6" s="74" t="s">
        <v>21</v>
      </c>
      <c r="U6" s="74" t="s">
        <v>22</v>
      </c>
      <c r="V6" s="74" t="s">
        <v>181</v>
      </c>
      <c r="W6" s="74" t="s">
        <v>182</v>
      </c>
      <c r="X6" s="74" t="s">
        <v>183</v>
      </c>
      <c r="Y6" s="74" t="s">
        <v>184</v>
      </c>
      <c r="Z6" s="74" t="s">
        <v>221</v>
      </c>
      <c r="AA6" s="74" t="s">
        <v>222</v>
      </c>
      <c r="AB6" s="74" t="s">
        <v>223</v>
      </c>
      <c r="AC6" s="74" t="s">
        <v>224</v>
      </c>
      <c r="AD6" s="74" t="s">
        <v>225</v>
      </c>
      <c r="AE6" s="74" t="s">
        <v>226</v>
      </c>
      <c r="AF6" s="74" t="s">
        <v>227</v>
      </c>
      <c r="AG6" s="74" t="s">
        <v>228</v>
      </c>
      <c r="AH6" s="74" t="s">
        <v>229</v>
      </c>
      <c r="AI6" s="74" t="s">
        <v>230</v>
      </c>
      <c r="AJ6" s="74" t="s">
        <v>231</v>
      </c>
      <c r="AK6" s="74" t="s">
        <v>232</v>
      </c>
      <c r="AL6" s="74" t="s">
        <v>233</v>
      </c>
      <c r="AM6" s="306" t="s">
        <v>234</v>
      </c>
      <c r="AN6" s="344" t="s">
        <v>235</v>
      </c>
      <c r="AO6" s="343"/>
      <c r="AP6" s="343"/>
      <c r="AQ6" s="343"/>
    </row>
    <row r="7" spans="1:40" ht="105.75" customHeight="1">
      <c r="A7" s="390" t="s">
        <v>1093</v>
      </c>
      <c r="B7" s="391"/>
      <c r="C7" s="388" t="s">
        <v>188</v>
      </c>
      <c r="D7" s="388" t="s">
        <v>190</v>
      </c>
      <c r="E7" s="387">
        <v>2019</v>
      </c>
      <c r="F7" s="387"/>
      <c r="G7" s="387"/>
      <c r="H7" s="386">
        <v>2020</v>
      </c>
      <c r="I7" s="386"/>
      <c r="J7" s="386"/>
      <c r="K7" s="386">
        <v>2021</v>
      </c>
      <c r="L7" s="386"/>
      <c r="M7" s="386"/>
      <c r="N7" s="386">
        <v>2022</v>
      </c>
      <c r="O7" s="386"/>
      <c r="P7" s="386"/>
      <c r="Q7" s="386">
        <v>2023</v>
      </c>
      <c r="R7" s="386"/>
      <c r="S7" s="386"/>
      <c r="T7" s="386">
        <v>2024</v>
      </c>
      <c r="U7" s="386"/>
      <c r="V7" s="386"/>
      <c r="W7" s="386">
        <v>2025</v>
      </c>
      <c r="X7" s="386"/>
      <c r="Y7" s="386"/>
      <c r="Z7" s="386">
        <v>2026</v>
      </c>
      <c r="AA7" s="386"/>
      <c r="AB7" s="386"/>
      <c r="AC7" s="386">
        <v>2027</v>
      </c>
      <c r="AD7" s="386"/>
      <c r="AE7" s="386"/>
      <c r="AF7" s="386">
        <v>2028</v>
      </c>
      <c r="AG7" s="386"/>
      <c r="AH7" s="386"/>
      <c r="AI7" s="386">
        <v>2029</v>
      </c>
      <c r="AJ7" s="386"/>
      <c r="AK7" s="386"/>
      <c r="AL7" s="386">
        <v>2030</v>
      </c>
      <c r="AM7" s="386"/>
      <c r="AN7" s="387"/>
    </row>
    <row r="8" spans="1:40" ht="15" customHeight="1">
      <c r="A8" s="392"/>
      <c r="B8" s="393"/>
      <c r="C8" s="389"/>
      <c r="D8" s="389"/>
      <c r="E8" s="75" t="s">
        <v>236</v>
      </c>
      <c r="F8" s="75" t="s">
        <v>237</v>
      </c>
      <c r="G8" s="75" t="s">
        <v>238</v>
      </c>
      <c r="H8" s="75" t="s">
        <v>236</v>
      </c>
      <c r="I8" s="75" t="s">
        <v>237</v>
      </c>
      <c r="J8" s="75" t="s">
        <v>238</v>
      </c>
      <c r="K8" s="75" t="s">
        <v>236</v>
      </c>
      <c r="L8" s="75" t="s">
        <v>237</v>
      </c>
      <c r="M8" s="75" t="s">
        <v>238</v>
      </c>
      <c r="N8" s="75" t="s">
        <v>236</v>
      </c>
      <c r="O8" s="75" t="s">
        <v>237</v>
      </c>
      <c r="P8" s="75" t="s">
        <v>238</v>
      </c>
      <c r="Q8" s="75" t="s">
        <v>236</v>
      </c>
      <c r="R8" s="75" t="s">
        <v>237</v>
      </c>
      <c r="S8" s="75" t="s">
        <v>238</v>
      </c>
      <c r="T8" s="75" t="s">
        <v>236</v>
      </c>
      <c r="U8" s="75" t="s">
        <v>237</v>
      </c>
      <c r="V8" s="75" t="s">
        <v>238</v>
      </c>
      <c r="W8" s="75" t="s">
        <v>236</v>
      </c>
      <c r="X8" s="75" t="s">
        <v>237</v>
      </c>
      <c r="Y8" s="75" t="s">
        <v>238</v>
      </c>
      <c r="Z8" s="75" t="s">
        <v>236</v>
      </c>
      <c r="AA8" s="75" t="s">
        <v>237</v>
      </c>
      <c r="AB8" s="75" t="s">
        <v>238</v>
      </c>
      <c r="AC8" s="75" t="s">
        <v>236</v>
      </c>
      <c r="AD8" s="75" t="s">
        <v>237</v>
      </c>
      <c r="AE8" s="75" t="s">
        <v>238</v>
      </c>
      <c r="AF8" s="75" t="s">
        <v>236</v>
      </c>
      <c r="AG8" s="75" t="s">
        <v>237</v>
      </c>
      <c r="AH8" s="75" t="s">
        <v>238</v>
      </c>
      <c r="AI8" s="75" t="s">
        <v>236</v>
      </c>
      <c r="AJ8" s="75" t="s">
        <v>237</v>
      </c>
      <c r="AK8" s="75" t="s">
        <v>238</v>
      </c>
      <c r="AL8" s="75" t="s">
        <v>236</v>
      </c>
      <c r="AM8" s="75" t="s">
        <v>237</v>
      </c>
      <c r="AN8" s="75" t="s">
        <v>238</v>
      </c>
    </row>
    <row r="9" spans="1:40" s="70" customFormat="1" ht="18" customHeight="1">
      <c r="A9" s="363" t="s">
        <v>239</v>
      </c>
      <c r="B9" s="363"/>
      <c r="C9" s="363"/>
      <c r="D9" s="48"/>
      <c r="E9" s="76">
        <f>SUM(E10:E13)</f>
        <v>580000000</v>
      </c>
      <c r="F9" s="76">
        <f aca="true" t="shared" si="0" ref="F9:AN9">SUM(F10:F13)</f>
        <v>246281250</v>
      </c>
      <c r="G9" s="76">
        <f t="shared" si="0"/>
        <v>826281250</v>
      </c>
      <c r="H9" s="76">
        <f t="shared" si="0"/>
        <v>580000000</v>
      </c>
      <c r="I9" s="76">
        <f t="shared" si="0"/>
        <v>349487500</v>
      </c>
      <c r="J9" s="76">
        <f t="shared" si="0"/>
        <v>929487500</v>
      </c>
      <c r="K9" s="76">
        <f t="shared" si="0"/>
        <v>28710000000</v>
      </c>
      <c r="L9" s="76">
        <f t="shared" si="0"/>
        <v>334435000</v>
      </c>
      <c r="M9" s="76">
        <f t="shared" si="0"/>
        <v>29044435000</v>
      </c>
      <c r="N9" s="76">
        <f t="shared" si="0"/>
        <v>8550000000</v>
      </c>
      <c r="O9" s="76">
        <f t="shared" si="0"/>
        <v>174906875</v>
      </c>
      <c r="P9" s="76">
        <f t="shared" si="0"/>
        <v>8724906875</v>
      </c>
      <c r="Q9" s="76">
        <f t="shared" si="0"/>
        <v>8550000000</v>
      </c>
      <c r="R9" s="76">
        <f t="shared" si="0"/>
        <v>120578750</v>
      </c>
      <c r="S9" s="76">
        <f t="shared" si="0"/>
        <v>8670578750</v>
      </c>
      <c r="T9" s="76">
        <f t="shared" si="0"/>
        <v>550000000</v>
      </c>
      <c r="U9" s="76">
        <f t="shared" si="0"/>
        <v>66995000</v>
      </c>
      <c r="V9" s="76">
        <f t="shared" si="0"/>
        <v>616995000</v>
      </c>
      <c r="W9" s="76">
        <f t="shared" si="0"/>
        <v>550000000</v>
      </c>
      <c r="X9" s="76">
        <f t="shared" si="0"/>
        <v>55214219</v>
      </c>
      <c r="Y9" s="76">
        <f t="shared" si="0"/>
        <v>605214219</v>
      </c>
      <c r="Z9" s="76">
        <f t="shared" si="0"/>
        <v>550000000</v>
      </c>
      <c r="AA9" s="76">
        <f t="shared" si="0"/>
        <v>44897500</v>
      </c>
      <c r="AB9" s="76">
        <f t="shared" si="0"/>
        <v>594897500</v>
      </c>
      <c r="AC9" s="76">
        <f t="shared" si="0"/>
        <v>550000000</v>
      </c>
      <c r="AD9" s="76">
        <f t="shared" si="0"/>
        <v>33266250</v>
      </c>
      <c r="AE9" s="76">
        <f t="shared" si="0"/>
        <v>583266250</v>
      </c>
      <c r="AF9" s="76">
        <f t="shared" si="0"/>
        <v>550000000</v>
      </c>
      <c r="AG9" s="76">
        <f t="shared" si="0"/>
        <v>21800000</v>
      </c>
      <c r="AH9" s="76">
        <f t="shared" si="0"/>
        <v>571800000</v>
      </c>
      <c r="AI9" s="76">
        <f t="shared" si="0"/>
        <v>250000000</v>
      </c>
      <c r="AJ9" s="76">
        <f t="shared" si="0"/>
        <v>12210000</v>
      </c>
      <c r="AK9" s="76">
        <f t="shared" si="0"/>
        <v>262210000</v>
      </c>
      <c r="AL9" s="76">
        <f t="shared" si="0"/>
        <v>250000000</v>
      </c>
      <c r="AM9" s="76">
        <f t="shared" si="0"/>
        <v>4681875</v>
      </c>
      <c r="AN9" s="76">
        <f t="shared" si="0"/>
        <v>254681875</v>
      </c>
    </row>
    <row r="10" spans="1:40" s="71" customFormat="1" ht="36.75" customHeight="1">
      <c r="A10" s="382" t="s">
        <v>240</v>
      </c>
      <c r="B10" s="382"/>
      <c r="C10" s="52" t="s">
        <v>241</v>
      </c>
      <c r="D10" s="53" t="s">
        <v>202</v>
      </c>
      <c r="E10" s="77">
        <v>280000000</v>
      </c>
      <c r="F10" s="77">
        <v>15000000</v>
      </c>
      <c r="G10" s="63">
        <f>SUM(E10:F10)</f>
        <v>295000000</v>
      </c>
      <c r="H10" s="77">
        <v>280000000</v>
      </c>
      <c r="I10" s="77">
        <v>8000000</v>
      </c>
      <c r="J10" s="63">
        <f aca="true" t="shared" si="1" ref="J10:J15">SUM(H10:I10)</f>
        <v>288000000</v>
      </c>
      <c r="K10" s="77">
        <v>160000000</v>
      </c>
      <c r="L10" s="77">
        <v>2000000</v>
      </c>
      <c r="M10" s="63">
        <f aca="true" t="shared" si="2" ref="M10:M15">SUM(K10:L10)</f>
        <v>162000000</v>
      </c>
      <c r="N10" s="77">
        <v>0</v>
      </c>
      <c r="O10" s="77">
        <v>0</v>
      </c>
      <c r="P10" s="63">
        <v>0</v>
      </c>
      <c r="Q10" s="77">
        <v>0</v>
      </c>
      <c r="R10" s="77">
        <v>0</v>
      </c>
      <c r="S10" s="63">
        <v>0</v>
      </c>
      <c r="T10" s="77">
        <v>0</v>
      </c>
      <c r="U10" s="77">
        <v>0</v>
      </c>
      <c r="V10" s="63">
        <v>0</v>
      </c>
      <c r="W10" s="77">
        <v>0</v>
      </c>
      <c r="X10" s="77">
        <v>0</v>
      </c>
      <c r="Y10" s="63">
        <v>0</v>
      </c>
      <c r="Z10" s="77">
        <v>0</v>
      </c>
      <c r="AA10" s="77">
        <v>0</v>
      </c>
      <c r="AB10" s="63">
        <v>0</v>
      </c>
      <c r="AC10" s="77">
        <v>0</v>
      </c>
      <c r="AD10" s="77">
        <v>0</v>
      </c>
      <c r="AE10" s="63">
        <v>0</v>
      </c>
      <c r="AF10" s="77">
        <v>0</v>
      </c>
      <c r="AG10" s="77">
        <v>0</v>
      </c>
      <c r="AH10" s="63">
        <v>0</v>
      </c>
      <c r="AI10" s="77">
        <v>0</v>
      </c>
      <c r="AJ10" s="77">
        <v>0</v>
      </c>
      <c r="AK10" s="63">
        <f aca="true" t="shared" si="3" ref="AK10:AK15">SUM(AI10:AJ10)</f>
        <v>0</v>
      </c>
      <c r="AL10" s="77">
        <v>0</v>
      </c>
      <c r="AM10" s="77">
        <v>0</v>
      </c>
      <c r="AN10" s="63">
        <v>0</v>
      </c>
    </row>
    <row r="11" spans="1:40" s="71" customFormat="1" ht="36.75" customHeight="1">
      <c r="A11" s="382" t="s">
        <v>819</v>
      </c>
      <c r="B11" s="382"/>
      <c r="C11" s="52" t="s">
        <v>242</v>
      </c>
      <c r="D11" s="53" t="s">
        <v>202</v>
      </c>
      <c r="E11" s="77">
        <v>300000000</v>
      </c>
      <c r="F11" s="77">
        <v>36000000</v>
      </c>
      <c r="G11" s="63">
        <f>SUM(E11:F11)</f>
        <v>336000000</v>
      </c>
      <c r="H11" s="77">
        <v>300000000</v>
      </c>
      <c r="I11" s="77">
        <v>33000000</v>
      </c>
      <c r="J11" s="63">
        <f t="shared" si="1"/>
        <v>333000000</v>
      </c>
      <c r="K11" s="77">
        <v>300000000</v>
      </c>
      <c r="L11" s="77">
        <v>28000000</v>
      </c>
      <c r="M11" s="63">
        <f t="shared" si="2"/>
        <v>328000000</v>
      </c>
      <c r="N11" s="77">
        <v>300000000</v>
      </c>
      <c r="O11" s="77">
        <v>25000000</v>
      </c>
      <c r="P11" s="63">
        <f>SUM(N11:O11)</f>
        <v>325000000</v>
      </c>
      <c r="Q11" s="77">
        <v>300000000</v>
      </c>
      <c r="R11" s="77">
        <v>21000000</v>
      </c>
      <c r="S11" s="63">
        <f>SUM(Q11:R11)</f>
        <v>321000000</v>
      </c>
      <c r="T11" s="77">
        <v>300000000</v>
      </c>
      <c r="U11" s="77">
        <v>17000000</v>
      </c>
      <c r="V11" s="63">
        <f>SUM(T11:U11)</f>
        <v>317000000</v>
      </c>
      <c r="W11" s="77">
        <v>300000000</v>
      </c>
      <c r="X11" s="77">
        <v>13000000</v>
      </c>
      <c r="Y11" s="63">
        <f>SUM(W11:X11)</f>
        <v>313000000</v>
      </c>
      <c r="Z11" s="77">
        <v>300000000</v>
      </c>
      <c r="AA11" s="77">
        <v>10000000</v>
      </c>
      <c r="AB11" s="63">
        <f>SUM(Z11:AA11)</f>
        <v>310000000</v>
      </c>
      <c r="AC11" s="77">
        <v>300000000</v>
      </c>
      <c r="AD11" s="77">
        <v>6000000</v>
      </c>
      <c r="AE11" s="63">
        <f>SUM(AC11:AD11)</f>
        <v>306000000</v>
      </c>
      <c r="AF11" s="77">
        <v>300000000</v>
      </c>
      <c r="AG11" s="77">
        <v>2000000</v>
      </c>
      <c r="AH11" s="63">
        <f>SUM(AF11:AG11)</f>
        <v>302000000</v>
      </c>
      <c r="AI11" s="77">
        <v>0</v>
      </c>
      <c r="AJ11" s="77">
        <v>0</v>
      </c>
      <c r="AK11" s="63">
        <f t="shared" si="3"/>
        <v>0</v>
      </c>
      <c r="AL11" s="77">
        <v>0</v>
      </c>
      <c r="AM11" s="77">
        <v>0</v>
      </c>
      <c r="AN11" s="63">
        <f>SUM(AL11:AM11)</f>
        <v>0</v>
      </c>
    </row>
    <row r="12" spans="1:40" s="71" customFormat="1" ht="36.75" customHeight="1">
      <c r="A12" s="382" t="s">
        <v>1094</v>
      </c>
      <c r="B12" s="382"/>
      <c r="C12" s="52" t="s">
        <v>936</v>
      </c>
      <c r="D12" s="53" t="s">
        <v>202</v>
      </c>
      <c r="E12" s="77">
        <v>0</v>
      </c>
      <c r="F12" s="77">
        <v>75281250</v>
      </c>
      <c r="G12" s="63">
        <f>SUM(E12:F12)</f>
        <v>75281250</v>
      </c>
      <c r="H12" s="77">
        <v>0</v>
      </c>
      <c r="I12" s="77">
        <v>75487500</v>
      </c>
      <c r="J12" s="63">
        <f t="shared" si="1"/>
        <v>75487500</v>
      </c>
      <c r="K12" s="77">
        <v>250000000</v>
      </c>
      <c r="L12" s="77">
        <v>72435000</v>
      </c>
      <c r="M12" s="63">
        <f t="shared" si="2"/>
        <v>322435000</v>
      </c>
      <c r="N12" s="77">
        <v>250000000</v>
      </c>
      <c r="O12" s="77">
        <v>64906875</v>
      </c>
      <c r="P12" s="63">
        <f>SUM(N12:O12)</f>
        <v>314906875</v>
      </c>
      <c r="Q12" s="77">
        <v>250000000</v>
      </c>
      <c r="R12" s="77">
        <v>57378750</v>
      </c>
      <c r="S12" s="63">
        <f>SUM(Q12:R12)</f>
        <v>307378750</v>
      </c>
      <c r="T12" s="77">
        <v>250000000</v>
      </c>
      <c r="U12" s="77">
        <v>49995000</v>
      </c>
      <c r="V12" s="63">
        <f>SUM(T12:U12)</f>
        <v>299995000</v>
      </c>
      <c r="W12" s="77">
        <v>250000000</v>
      </c>
      <c r="X12" s="77">
        <v>42214219</v>
      </c>
      <c r="Y12" s="63">
        <f>SUM(W12:X12)</f>
        <v>292214219</v>
      </c>
      <c r="Z12" s="77">
        <v>250000000</v>
      </c>
      <c r="AA12" s="77">
        <v>34897500</v>
      </c>
      <c r="AB12" s="63">
        <f>SUM(Z12:AA12)</f>
        <v>284897500</v>
      </c>
      <c r="AC12" s="77">
        <v>250000000</v>
      </c>
      <c r="AD12" s="77">
        <v>27266250</v>
      </c>
      <c r="AE12" s="63">
        <f>SUM(AC12:AD12)</f>
        <v>277266250</v>
      </c>
      <c r="AF12" s="77">
        <v>250000000</v>
      </c>
      <c r="AG12" s="77">
        <v>19800000</v>
      </c>
      <c r="AH12" s="63">
        <f>SUM(AF12:AG12)</f>
        <v>269800000</v>
      </c>
      <c r="AI12" s="77">
        <v>250000000</v>
      </c>
      <c r="AJ12" s="77">
        <v>12210000</v>
      </c>
      <c r="AK12" s="63">
        <f t="shared" si="3"/>
        <v>262210000</v>
      </c>
      <c r="AL12" s="77">
        <v>250000000</v>
      </c>
      <c r="AM12" s="77">
        <v>4681875</v>
      </c>
      <c r="AN12" s="63">
        <f>SUM(AL12:AM12)</f>
        <v>254681875</v>
      </c>
    </row>
    <row r="13" spans="1:40" s="71" customFormat="1" ht="36.75" customHeight="1">
      <c r="A13" s="382" t="s">
        <v>1116</v>
      </c>
      <c r="B13" s="382"/>
      <c r="C13" s="52" t="s">
        <v>936</v>
      </c>
      <c r="D13" s="53" t="s">
        <v>202</v>
      </c>
      <c r="E13" s="77">
        <v>0</v>
      </c>
      <c r="F13" s="77">
        <v>120000000</v>
      </c>
      <c r="G13" s="63">
        <f>SUM(E13:F13)</f>
        <v>120000000</v>
      </c>
      <c r="H13" s="77">
        <v>0</v>
      </c>
      <c r="I13" s="77">
        <v>233000000</v>
      </c>
      <c r="J13" s="63">
        <f t="shared" si="1"/>
        <v>233000000</v>
      </c>
      <c r="K13" s="77">
        <v>28000000000</v>
      </c>
      <c r="L13" s="77">
        <v>232000000</v>
      </c>
      <c r="M13" s="63">
        <f t="shared" si="2"/>
        <v>28232000000</v>
      </c>
      <c r="N13" s="77">
        <v>8000000000</v>
      </c>
      <c r="O13" s="77">
        <v>85000000</v>
      </c>
      <c r="P13" s="63">
        <f>SUM(N13:O13)</f>
        <v>8085000000</v>
      </c>
      <c r="Q13" s="77">
        <v>8000000000</v>
      </c>
      <c r="R13" s="77">
        <v>42200000</v>
      </c>
      <c r="S13" s="63">
        <f>SUM(Q13:R13)</f>
        <v>8042200000</v>
      </c>
      <c r="T13" s="77"/>
      <c r="U13" s="77"/>
      <c r="V13" s="63">
        <f>SUM(T13:U13)</f>
        <v>0</v>
      </c>
      <c r="W13" s="77"/>
      <c r="X13" s="77"/>
      <c r="Y13" s="63">
        <f>SUM(W13:X13)</f>
        <v>0</v>
      </c>
      <c r="Z13" s="77"/>
      <c r="AA13" s="77"/>
      <c r="AB13" s="63">
        <f>SUM(Z13:AA13)</f>
        <v>0</v>
      </c>
      <c r="AC13" s="77"/>
      <c r="AD13" s="77"/>
      <c r="AE13" s="63">
        <f>SUM(AC13:AD13)</f>
        <v>0</v>
      </c>
      <c r="AF13" s="77"/>
      <c r="AG13" s="77"/>
      <c r="AH13" s="63">
        <f>SUM(AF13:AG13)</f>
        <v>0</v>
      </c>
      <c r="AI13" s="77"/>
      <c r="AJ13" s="77"/>
      <c r="AK13" s="63">
        <f t="shared" si="3"/>
        <v>0</v>
      </c>
      <c r="AL13" s="77"/>
      <c r="AM13" s="77"/>
      <c r="AN13" s="63"/>
    </row>
    <row r="14" spans="1:40" s="71" customFormat="1" ht="18" customHeight="1">
      <c r="A14" s="363" t="s">
        <v>243</v>
      </c>
      <c r="B14" s="363"/>
      <c r="C14" s="363"/>
      <c r="D14" s="48"/>
      <c r="E14" s="58">
        <v>0</v>
      </c>
      <c r="F14" s="58">
        <f>SUM(F15)</f>
        <v>14000000</v>
      </c>
      <c r="G14" s="58">
        <f>SUM(G15)</f>
        <v>14000000</v>
      </c>
      <c r="H14" s="58">
        <v>0</v>
      </c>
      <c r="I14" s="58">
        <v>0</v>
      </c>
      <c r="J14" s="63">
        <f t="shared" si="1"/>
        <v>0</v>
      </c>
      <c r="K14" s="58">
        <v>0</v>
      </c>
      <c r="L14" s="58">
        <v>0</v>
      </c>
      <c r="M14" s="63">
        <f t="shared" si="2"/>
        <v>0</v>
      </c>
      <c r="N14" s="58">
        <v>0</v>
      </c>
      <c r="O14" s="58">
        <v>0</v>
      </c>
      <c r="P14" s="63">
        <f>SUM(N14:O14)</f>
        <v>0</v>
      </c>
      <c r="Q14" s="58">
        <v>0</v>
      </c>
      <c r="R14" s="58">
        <v>0</v>
      </c>
      <c r="S14" s="63">
        <f>SUM(Q14:R14)</f>
        <v>0</v>
      </c>
      <c r="T14" s="58">
        <v>0</v>
      </c>
      <c r="U14" s="58">
        <v>0</v>
      </c>
      <c r="V14" s="63">
        <f>SUM(T14:U14)</f>
        <v>0</v>
      </c>
      <c r="W14" s="58">
        <v>0</v>
      </c>
      <c r="X14" s="58">
        <v>0</v>
      </c>
      <c r="Y14" s="63">
        <f>SUM(W14:X14)</f>
        <v>0</v>
      </c>
      <c r="Z14" s="58">
        <v>0</v>
      </c>
      <c r="AA14" s="58">
        <v>0</v>
      </c>
      <c r="AB14" s="63">
        <f>SUM(Z14:AA14)</f>
        <v>0</v>
      </c>
      <c r="AC14" s="58">
        <v>0</v>
      </c>
      <c r="AD14" s="58">
        <v>0</v>
      </c>
      <c r="AE14" s="63">
        <f>SUM(AC14:AD14)</f>
        <v>0</v>
      </c>
      <c r="AF14" s="58">
        <v>0</v>
      </c>
      <c r="AG14" s="58">
        <v>0</v>
      </c>
      <c r="AH14" s="63">
        <f>SUM(AF14:AG14)</f>
        <v>0</v>
      </c>
      <c r="AI14" s="58">
        <v>0</v>
      </c>
      <c r="AJ14" s="58">
        <v>0</v>
      </c>
      <c r="AK14" s="63">
        <f t="shared" si="3"/>
        <v>0</v>
      </c>
      <c r="AL14" s="58">
        <v>0</v>
      </c>
      <c r="AM14" s="58">
        <v>0</v>
      </c>
      <c r="AN14" s="63">
        <f>SUM(AL14:AM14)</f>
        <v>0</v>
      </c>
    </row>
    <row r="15" spans="1:40" s="71" customFormat="1" ht="36.75" customHeight="1">
      <c r="A15" s="379" t="s">
        <v>204</v>
      </c>
      <c r="B15" s="380"/>
      <c r="C15" s="381"/>
      <c r="D15" s="53" t="s">
        <v>202</v>
      </c>
      <c r="E15" s="78">
        <v>0</v>
      </c>
      <c r="F15" s="78">
        <v>14000000</v>
      </c>
      <c r="G15" s="63">
        <f>SUM(E15:F15)</f>
        <v>14000000</v>
      </c>
      <c r="H15" s="78">
        <v>0</v>
      </c>
      <c r="I15" s="78">
        <v>0</v>
      </c>
      <c r="J15" s="63">
        <f t="shared" si="1"/>
        <v>0</v>
      </c>
      <c r="K15" s="78">
        <v>0</v>
      </c>
      <c r="L15" s="78">
        <v>0</v>
      </c>
      <c r="M15" s="63">
        <f t="shared" si="2"/>
        <v>0</v>
      </c>
      <c r="N15" s="78">
        <v>0</v>
      </c>
      <c r="O15" s="78">
        <v>0</v>
      </c>
      <c r="P15" s="63">
        <f>SUM(N15:O15)</f>
        <v>0</v>
      </c>
      <c r="Q15" s="78">
        <v>0</v>
      </c>
      <c r="R15" s="78">
        <v>0</v>
      </c>
      <c r="S15" s="63">
        <f>SUM(Q15:R15)</f>
        <v>0</v>
      </c>
      <c r="T15" s="78">
        <v>0</v>
      </c>
      <c r="U15" s="78">
        <v>0</v>
      </c>
      <c r="V15" s="63">
        <f>SUM(T15:U15)</f>
        <v>0</v>
      </c>
      <c r="W15" s="78">
        <v>0</v>
      </c>
      <c r="X15" s="78">
        <v>0</v>
      </c>
      <c r="Y15" s="63">
        <f>SUM(W15:X15)</f>
        <v>0</v>
      </c>
      <c r="Z15" s="78">
        <v>0</v>
      </c>
      <c r="AA15" s="78">
        <v>0</v>
      </c>
      <c r="AB15" s="63">
        <f>SUM(Z15:AA15)</f>
        <v>0</v>
      </c>
      <c r="AC15" s="78">
        <v>0</v>
      </c>
      <c r="AD15" s="78">
        <v>0</v>
      </c>
      <c r="AE15" s="63">
        <f>SUM(AC15:AD15)</f>
        <v>0</v>
      </c>
      <c r="AF15" s="78">
        <v>0</v>
      </c>
      <c r="AG15" s="78">
        <v>0</v>
      </c>
      <c r="AH15" s="63">
        <f>SUM(AF15:AG15)</f>
        <v>0</v>
      </c>
      <c r="AI15" s="78">
        <v>0</v>
      </c>
      <c r="AJ15" s="78">
        <v>0</v>
      </c>
      <c r="AK15" s="63">
        <f t="shared" si="3"/>
        <v>0</v>
      </c>
      <c r="AL15" s="78">
        <v>0</v>
      </c>
      <c r="AM15" s="78">
        <v>0</v>
      </c>
      <c r="AN15" s="63">
        <f>SUM(AL15:AM15)</f>
        <v>0</v>
      </c>
    </row>
    <row r="16" spans="1:40" s="69" customFormat="1" ht="18" customHeight="1">
      <c r="A16" s="366" t="s">
        <v>244</v>
      </c>
      <c r="B16" s="366"/>
      <c r="C16" s="366"/>
      <c r="D16" s="64"/>
      <c r="E16" s="63">
        <f>E9+E14</f>
        <v>580000000</v>
      </c>
      <c r="F16" s="63">
        <f aca="true" t="shared" si="4" ref="F16:AN16">F9+F14</f>
        <v>260281250</v>
      </c>
      <c r="G16" s="63">
        <f t="shared" si="4"/>
        <v>840281250</v>
      </c>
      <c r="H16" s="63">
        <f t="shared" si="4"/>
        <v>580000000</v>
      </c>
      <c r="I16" s="63">
        <f t="shared" si="4"/>
        <v>349487500</v>
      </c>
      <c r="J16" s="63">
        <f t="shared" si="4"/>
        <v>929487500</v>
      </c>
      <c r="K16" s="63">
        <f t="shared" si="4"/>
        <v>28710000000</v>
      </c>
      <c r="L16" s="63">
        <f t="shared" si="4"/>
        <v>334435000</v>
      </c>
      <c r="M16" s="63">
        <f t="shared" si="4"/>
        <v>29044435000</v>
      </c>
      <c r="N16" s="63">
        <f t="shared" si="4"/>
        <v>8550000000</v>
      </c>
      <c r="O16" s="63">
        <f t="shared" si="4"/>
        <v>174906875</v>
      </c>
      <c r="P16" s="63">
        <f t="shared" si="4"/>
        <v>8724906875</v>
      </c>
      <c r="Q16" s="63">
        <f t="shared" si="4"/>
        <v>8550000000</v>
      </c>
      <c r="R16" s="63">
        <f t="shared" si="4"/>
        <v>120578750</v>
      </c>
      <c r="S16" s="63">
        <f t="shared" si="4"/>
        <v>8670578750</v>
      </c>
      <c r="T16" s="63">
        <f t="shared" si="4"/>
        <v>550000000</v>
      </c>
      <c r="U16" s="63">
        <f t="shared" si="4"/>
        <v>66995000</v>
      </c>
      <c r="V16" s="63">
        <f t="shared" si="4"/>
        <v>616995000</v>
      </c>
      <c r="W16" s="63">
        <f t="shared" si="4"/>
        <v>550000000</v>
      </c>
      <c r="X16" s="63">
        <f t="shared" si="4"/>
        <v>55214219</v>
      </c>
      <c r="Y16" s="63">
        <f t="shared" si="4"/>
        <v>605214219</v>
      </c>
      <c r="Z16" s="63">
        <f t="shared" si="4"/>
        <v>550000000</v>
      </c>
      <c r="AA16" s="63">
        <f t="shared" si="4"/>
        <v>44897500</v>
      </c>
      <c r="AB16" s="63">
        <f t="shared" si="4"/>
        <v>594897500</v>
      </c>
      <c r="AC16" s="63">
        <f t="shared" si="4"/>
        <v>550000000</v>
      </c>
      <c r="AD16" s="63">
        <f t="shared" si="4"/>
        <v>33266250</v>
      </c>
      <c r="AE16" s="63">
        <f t="shared" si="4"/>
        <v>583266250</v>
      </c>
      <c r="AF16" s="63">
        <f t="shared" si="4"/>
        <v>550000000</v>
      </c>
      <c r="AG16" s="63">
        <f t="shared" si="4"/>
        <v>21800000</v>
      </c>
      <c r="AH16" s="63">
        <f t="shared" si="4"/>
        <v>571800000</v>
      </c>
      <c r="AI16" s="63">
        <f t="shared" si="4"/>
        <v>250000000</v>
      </c>
      <c r="AJ16" s="63">
        <f t="shared" si="4"/>
        <v>12210000</v>
      </c>
      <c r="AK16" s="63">
        <f t="shared" si="4"/>
        <v>262210000</v>
      </c>
      <c r="AL16" s="63">
        <f t="shared" si="4"/>
        <v>250000000</v>
      </c>
      <c r="AM16" s="63">
        <f t="shared" si="4"/>
        <v>4681875</v>
      </c>
      <c r="AN16" s="63">
        <f t="shared" si="4"/>
        <v>254681875</v>
      </c>
    </row>
  </sheetData>
  <sheetProtection selectLockedCells="1" selectUnlockedCells="1"/>
  <mergeCells count="26">
    <mergeCell ref="AC7:AE7"/>
    <mergeCell ref="AF7:AH7"/>
    <mergeCell ref="A13:B13"/>
    <mergeCell ref="A7:B8"/>
    <mergeCell ref="Q7:S7"/>
    <mergeCell ref="T7:V7"/>
    <mergeCell ref="W7:Y7"/>
    <mergeCell ref="Z7:AB7"/>
    <mergeCell ref="H7:J7"/>
    <mergeCell ref="A9:C9"/>
    <mergeCell ref="A2:AN2"/>
    <mergeCell ref="A3:AN3"/>
    <mergeCell ref="A1:AN1"/>
    <mergeCell ref="AL7:AN7"/>
    <mergeCell ref="D7:D8"/>
    <mergeCell ref="C7:C8"/>
    <mergeCell ref="E7:G7"/>
    <mergeCell ref="AI7:AK7"/>
    <mergeCell ref="K7:M7"/>
    <mergeCell ref="N7:P7"/>
    <mergeCell ref="A15:C15"/>
    <mergeCell ref="A16:C16"/>
    <mergeCell ref="A10:B10"/>
    <mergeCell ref="A11:B11"/>
    <mergeCell ref="A14:C14"/>
    <mergeCell ref="A12:B12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60"/>
  <sheetViews>
    <sheetView view="pageBreakPreview" zoomScale="71" zoomScaleNormal="71" zoomScaleSheetLayoutView="71" zoomScalePageLayoutView="0" workbookViewId="0" topLeftCell="A1">
      <pane xSplit="3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V1"/>
    </sheetView>
  </sheetViews>
  <sheetFormatPr defaultColWidth="9.140625" defaultRowHeight="12.75"/>
  <cols>
    <col min="1" max="1" width="5.140625" style="79" customWidth="1"/>
    <col min="2" max="2" width="9.8515625" style="79" customWidth="1"/>
    <col min="3" max="3" width="39.8515625" style="79" customWidth="1"/>
    <col min="4" max="4" width="23.57421875" style="79" customWidth="1"/>
    <col min="5" max="6" width="14.57421875" style="79" customWidth="1"/>
    <col min="7" max="7" width="19.7109375" style="79" customWidth="1"/>
    <col min="8" max="8" width="14.57421875" style="79" customWidth="1"/>
    <col min="9" max="9" width="21.28125" style="79" customWidth="1"/>
    <col min="10" max="10" width="20.28125" style="79" customWidth="1"/>
    <col min="11" max="12" width="14.57421875" style="79" customWidth="1"/>
    <col min="13" max="13" width="23.57421875" style="79" customWidth="1"/>
    <col min="14" max="14" width="17.8515625" style="0" customWidth="1"/>
    <col min="15" max="21" width="17.8515625" style="79" customWidth="1"/>
    <col min="22" max="22" width="24.28125" style="159" customWidth="1"/>
    <col min="23" max="16384" width="9.140625" style="79" customWidth="1"/>
  </cols>
  <sheetData>
    <row r="1" spans="1:22" ht="15.75" customHeight="1">
      <c r="A1" s="395" t="s">
        <v>1555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</row>
    <row r="2" spans="1:22" ht="15.75" customHeight="1">
      <c r="A2" s="394" t="s">
        <v>1529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</row>
    <row r="3" spans="1:22" ht="18" customHeight="1">
      <c r="A3" s="396" t="s">
        <v>245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</row>
    <row r="4" spans="1:22" ht="15" customHeight="1">
      <c r="A4" s="397" t="s">
        <v>246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</row>
    <row r="5" spans="1:22" ht="14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M5" s="80"/>
      <c r="V5" s="3" t="s">
        <v>1</v>
      </c>
    </row>
    <row r="6" spans="1:22" ht="12.7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201" t="s">
        <v>12</v>
      </c>
      <c r="L6" s="228" t="s">
        <v>13</v>
      </c>
      <c r="M6" s="228" t="s">
        <v>14</v>
      </c>
      <c r="N6" s="201" t="s">
        <v>15</v>
      </c>
      <c r="O6" s="201" t="s">
        <v>16</v>
      </c>
      <c r="P6" s="201" t="s">
        <v>17</v>
      </c>
      <c r="Q6" s="201" t="s">
        <v>18</v>
      </c>
      <c r="R6" s="201" t="s">
        <v>19</v>
      </c>
      <c r="S6" s="201" t="s">
        <v>20</v>
      </c>
      <c r="T6" s="201" t="s">
        <v>21</v>
      </c>
      <c r="U6" s="168" t="s">
        <v>22</v>
      </c>
      <c r="V6" s="168" t="s">
        <v>181</v>
      </c>
    </row>
    <row r="7" spans="1:22" ht="12.75" customHeight="1">
      <c r="A7" s="399" t="s">
        <v>24</v>
      </c>
      <c r="B7" s="399" t="s">
        <v>185</v>
      </c>
      <c r="C7" s="355" t="s">
        <v>25</v>
      </c>
      <c r="D7" s="349" t="s">
        <v>1099</v>
      </c>
      <c r="E7" s="403" t="s">
        <v>26</v>
      </c>
      <c r="F7" s="403"/>
      <c r="G7" s="403"/>
      <c r="H7" s="403"/>
      <c r="I7" s="403"/>
      <c r="J7" s="403"/>
      <c r="K7" s="403"/>
      <c r="L7" s="404"/>
      <c r="M7" s="349" t="s">
        <v>1526</v>
      </c>
      <c r="N7" s="345" t="s">
        <v>1525</v>
      </c>
      <c r="O7" s="345"/>
      <c r="P7" s="345"/>
      <c r="Q7" s="345"/>
      <c r="R7" s="345"/>
      <c r="S7" s="345"/>
      <c r="T7" s="345"/>
      <c r="U7" s="400"/>
      <c r="V7" s="401" t="s">
        <v>1234</v>
      </c>
    </row>
    <row r="8" spans="1:22" ht="12.75" customHeight="1">
      <c r="A8" s="399"/>
      <c r="B8" s="399"/>
      <c r="C8" s="355"/>
      <c r="D8" s="355"/>
      <c r="E8" s="351" t="s">
        <v>27</v>
      </c>
      <c r="F8" s="351"/>
      <c r="G8" s="351"/>
      <c r="H8" s="351"/>
      <c r="I8" s="351"/>
      <c r="J8" s="351" t="s">
        <v>28</v>
      </c>
      <c r="K8" s="351"/>
      <c r="L8" s="398"/>
      <c r="M8" s="355"/>
      <c r="N8" s="351" t="s">
        <v>27</v>
      </c>
      <c r="O8" s="351"/>
      <c r="P8" s="351"/>
      <c r="Q8" s="351"/>
      <c r="R8" s="351"/>
      <c r="S8" s="351" t="s">
        <v>28</v>
      </c>
      <c r="T8" s="351"/>
      <c r="U8" s="398"/>
      <c r="V8" s="401"/>
    </row>
    <row r="9" spans="1:22" ht="89.25">
      <c r="A9" s="399"/>
      <c r="B9" s="399"/>
      <c r="C9" s="355"/>
      <c r="D9" s="35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196" t="s">
        <v>36</v>
      </c>
      <c r="M9" s="35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196" t="s">
        <v>36</v>
      </c>
      <c r="V9" s="401"/>
    </row>
    <row r="10" spans="1:22" ht="18">
      <c r="A10" s="12" t="s">
        <v>52</v>
      </c>
      <c r="B10" s="12"/>
      <c r="C10" s="82" t="s">
        <v>40</v>
      </c>
      <c r="D10" s="83">
        <f>SUM(E10:L10)</f>
        <v>2883163294</v>
      </c>
      <c r="E10" s="84">
        <f aca="true" t="shared" si="0" ref="E10:L10">SUM(E11:E32)</f>
        <v>0</v>
      </c>
      <c r="F10" s="84">
        <f t="shared" si="0"/>
        <v>0</v>
      </c>
      <c r="G10" s="84">
        <f t="shared" si="0"/>
        <v>2791332790</v>
      </c>
      <c r="H10" s="84">
        <f t="shared" si="0"/>
        <v>0</v>
      </c>
      <c r="I10" s="84">
        <f t="shared" si="0"/>
        <v>91309804</v>
      </c>
      <c r="J10" s="84">
        <f t="shared" si="0"/>
        <v>520700</v>
      </c>
      <c r="K10" s="84">
        <f t="shared" si="0"/>
        <v>0</v>
      </c>
      <c r="L10" s="229">
        <f t="shared" si="0"/>
        <v>0</v>
      </c>
      <c r="M10" s="83">
        <f>SUM(N10:U10)</f>
        <v>2883163294</v>
      </c>
      <c r="N10" s="84">
        <f aca="true" t="shared" si="1" ref="N10:U10">SUM(N11:N32)</f>
        <v>0</v>
      </c>
      <c r="O10" s="84">
        <f t="shared" si="1"/>
        <v>0</v>
      </c>
      <c r="P10" s="84">
        <f t="shared" si="1"/>
        <v>2791332790</v>
      </c>
      <c r="Q10" s="84">
        <f t="shared" si="1"/>
        <v>0</v>
      </c>
      <c r="R10" s="84">
        <f t="shared" si="1"/>
        <v>91309804</v>
      </c>
      <c r="S10" s="84">
        <f t="shared" si="1"/>
        <v>520700</v>
      </c>
      <c r="T10" s="84">
        <f t="shared" si="1"/>
        <v>0</v>
      </c>
      <c r="U10" s="229">
        <f t="shared" si="1"/>
        <v>0</v>
      </c>
      <c r="V10" s="401"/>
    </row>
    <row r="11" spans="1:22" ht="18">
      <c r="A11" s="12"/>
      <c r="B11" s="12" t="s">
        <v>247</v>
      </c>
      <c r="C11" s="85" t="s">
        <v>248</v>
      </c>
      <c r="D11" s="86">
        <f aca="true" t="shared" si="2" ref="D11:D32">SUM(E11:L11)</f>
        <v>44343395</v>
      </c>
      <c r="E11" s="87">
        <v>0</v>
      </c>
      <c r="F11" s="87">
        <v>0</v>
      </c>
      <c r="G11" s="87">
        <f>25000000+19343395</f>
        <v>44343395</v>
      </c>
      <c r="H11" s="87">
        <v>0</v>
      </c>
      <c r="I11" s="87">
        <v>0</v>
      </c>
      <c r="J11" s="87">
        <v>0</v>
      </c>
      <c r="K11" s="87">
        <v>0</v>
      </c>
      <c r="L11" s="230">
        <v>0</v>
      </c>
      <c r="M11" s="86">
        <f aca="true" t="shared" si="3" ref="M11:M32">SUM(N11:U11)</f>
        <v>44343395</v>
      </c>
      <c r="N11" s="87">
        <v>0</v>
      </c>
      <c r="O11" s="87">
        <v>0</v>
      </c>
      <c r="P11" s="87">
        <f>25000000+19343395</f>
        <v>44343395</v>
      </c>
      <c r="Q11" s="87">
        <v>0</v>
      </c>
      <c r="R11" s="87">
        <v>0</v>
      </c>
      <c r="S11" s="87">
        <v>0</v>
      </c>
      <c r="T11" s="87">
        <v>0</v>
      </c>
      <c r="U11" s="230">
        <v>0</v>
      </c>
      <c r="V11" s="232" t="s">
        <v>1235</v>
      </c>
    </row>
    <row r="12" spans="1:22" ht="18">
      <c r="A12" s="12"/>
      <c r="B12" s="12" t="s">
        <v>249</v>
      </c>
      <c r="C12" s="85" t="s">
        <v>250</v>
      </c>
      <c r="D12" s="86">
        <f t="shared" si="2"/>
        <v>18731822</v>
      </c>
      <c r="E12" s="87">
        <v>0</v>
      </c>
      <c r="F12" s="87">
        <v>0</v>
      </c>
      <c r="G12" s="87">
        <f>18000000+731822</f>
        <v>18731822</v>
      </c>
      <c r="H12" s="87">
        <v>0</v>
      </c>
      <c r="I12" s="87">
        <v>0</v>
      </c>
      <c r="J12" s="87">
        <v>0</v>
      </c>
      <c r="K12" s="87">
        <v>0</v>
      </c>
      <c r="L12" s="230">
        <v>0</v>
      </c>
      <c r="M12" s="86">
        <f t="shared" si="3"/>
        <v>18731822</v>
      </c>
      <c r="N12" s="87">
        <v>0</v>
      </c>
      <c r="O12" s="87">
        <v>0</v>
      </c>
      <c r="P12" s="87">
        <f>18000000+731822</f>
        <v>18731822</v>
      </c>
      <c r="Q12" s="87">
        <v>0</v>
      </c>
      <c r="R12" s="87">
        <v>0</v>
      </c>
      <c r="S12" s="87">
        <v>0</v>
      </c>
      <c r="T12" s="87">
        <v>0</v>
      </c>
      <c r="U12" s="230">
        <v>0</v>
      </c>
      <c r="V12" s="232" t="s">
        <v>1236</v>
      </c>
    </row>
    <row r="13" spans="1:22" ht="30">
      <c r="A13" s="12"/>
      <c r="B13" s="12" t="s">
        <v>251</v>
      </c>
      <c r="C13" s="85" t="s">
        <v>252</v>
      </c>
      <c r="D13" s="86">
        <f t="shared" si="2"/>
        <v>53108655</v>
      </c>
      <c r="E13" s="87">
        <v>0</v>
      </c>
      <c r="F13" s="87">
        <v>0</v>
      </c>
      <c r="G13" s="87">
        <f>40000000+13108655</f>
        <v>53108655</v>
      </c>
      <c r="H13" s="87">
        <v>0</v>
      </c>
      <c r="I13" s="87">
        <v>0</v>
      </c>
      <c r="J13" s="87">
        <v>0</v>
      </c>
      <c r="K13" s="87">
        <v>0</v>
      </c>
      <c r="L13" s="230">
        <v>0</v>
      </c>
      <c r="M13" s="86">
        <f t="shared" si="3"/>
        <v>53108655</v>
      </c>
      <c r="N13" s="87">
        <v>0</v>
      </c>
      <c r="O13" s="87">
        <v>0</v>
      </c>
      <c r="P13" s="87">
        <f>40000000+13108655</f>
        <v>53108655</v>
      </c>
      <c r="Q13" s="87">
        <v>0</v>
      </c>
      <c r="R13" s="87">
        <v>0</v>
      </c>
      <c r="S13" s="87">
        <v>0</v>
      </c>
      <c r="T13" s="87">
        <v>0</v>
      </c>
      <c r="U13" s="230">
        <v>0</v>
      </c>
      <c r="V13" s="232" t="s">
        <v>1237</v>
      </c>
    </row>
    <row r="14" spans="1:22" ht="18">
      <c r="A14" s="12"/>
      <c r="B14" s="12" t="s">
        <v>253</v>
      </c>
      <c r="C14" s="85" t="s">
        <v>254</v>
      </c>
      <c r="D14" s="86">
        <f t="shared" si="2"/>
        <v>22278987</v>
      </c>
      <c r="E14" s="87">
        <v>0</v>
      </c>
      <c r="F14" s="87">
        <v>0</v>
      </c>
      <c r="G14" s="87">
        <f>15000000+7278987</f>
        <v>22278987</v>
      </c>
      <c r="H14" s="87">
        <v>0</v>
      </c>
      <c r="I14" s="87">
        <v>0</v>
      </c>
      <c r="J14" s="87">
        <v>0</v>
      </c>
      <c r="K14" s="87">
        <v>0</v>
      </c>
      <c r="L14" s="230">
        <v>0</v>
      </c>
      <c r="M14" s="86">
        <f t="shared" si="3"/>
        <v>22278987</v>
      </c>
      <c r="N14" s="87">
        <v>0</v>
      </c>
      <c r="O14" s="87">
        <v>0</v>
      </c>
      <c r="P14" s="87">
        <f>15000000+7278987</f>
        <v>22278987</v>
      </c>
      <c r="Q14" s="87">
        <v>0</v>
      </c>
      <c r="R14" s="87">
        <v>0</v>
      </c>
      <c r="S14" s="87">
        <v>0</v>
      </c>
      <c r="T14" s="87">
        <v>0</v>
      </c>
      <c r="U14" s="230">
        <v>0</v>
      </c>
      <c r="V14" s="232" t="s">
        <v>1238</v>
      </c>
    </row>
    <row r="15" spans="1:22" ht="18">
      <c r="A15" s="12"/>
      <c r="B15" s="12" t="s">
        <v>255</v>
      </c>
      <c r="C15" s="85" t="s">
        <v>256</v>
      </c>
      <c r="D15" s="86">
        <f t="shared" si="2"/>
        <v>4239776</v>
      </c>
      <c r="E15" s="87">
        <v>0</v>
      </c>
      <c r="F15" s="87">
        <v>0</v>
      </c>
      <c r="G15" s="87">
        <f>4000000+239776</f>
        <v>4239776</v>
      </c>
      <c r="H15" s="87">
        <v>0</v>
      </c>
      <c r="I15" s="87">
        <v>0</v>
      </c>
      <c r="J15" s="87">
        <v>0</v>
      </c>
      <c r="K15" s="87">
        <v>0</v>
      </c>
      <c r="L15" s="230">
        <v>0</v>
      </c>
      <c r="M15" s="86">
        <f t="shared" si="3"/>
        <v>4239776</v>
      </c>
      <c r="N15" s="87">
        <v>0</v>
      </c>
      <c r="O15" s="87">
        <v>0</v>
      </c>
      <c r="P15" s="87">
        <f>4000000+239776</f>
        <v>4239776</v>
      </c>
      <c r="Q15" s="87">
        <v>0</v>
      </c>
      <c r="R15" s="87">
        <v>0</v>
      </c>
      <c r="S15" s="87">
        <v>0</v>
      </c>
      <c r="T15" s="87">
        <v>0</v>
      </c>
      <c r="U15" s="230">
        <v>0</v>
      </c>
      <c r="V15" s="232" t="s">
        <v>1239</v>
      </c>
    </row>
    <row r="16" spans="1:22" ht="18">
      <c r="A16" s="12"/>
      <c r="B16" s="12" t="s">
        <v>257</v>
      </c>
      <c r="C16" s="85" t="s">
        <v>258</v>
      </c>
      <c r="D16" s="86">
        <f t="shared" si="2"/>
        <v>16016000</v>
      </c>
      <c r="E16" s="87">
        <v>0</v>
      </c>
      <c r="F16" s="87">
        <v>0</v>
      </c>
      <c r="G16" s="87">
        <f>15000000+1016000</f>
        <v>16016000</v>
      </c>
      <c r="H16" s="87">
        <v>0</v>
      </c>
      <c r="I16" s="87">
        <v>0</v>
      </c>
      <c r="J16" s="87">
        <v>0</v>
      </c>
      <c r="K16" s="87">
        <v>0</v>
      </c>
      <c r="L16" s="230">
        <v>0</v>
      </c>
      <c r="M16" s="86">
        <f t="shared" si="3"/>
        <v>16016000</v>
      </c>
      <c r="N16" s="87">
        <v>0</v>
      </c>
      <c r="O16" s="87">
        <v>0</v>
      </c>
      <c r="P16" s="87">
        <f>15000000+1016000</f>
        <v>16016000</v>
      </c>
      <c r="Q16" s="87">
        <v>0</v>
      </c>
      <c r="R16" s="87">
        <v>0</v>
      </c>
      <c r="S16" s="87">
        <v>0</v>
      </c>
      <c r="T16" s="87">
        <v>0</v>
      </c>
      <c r="U16" s="230">
        <v>0</v>
      </c>
      <c r="V16" s="232" t="s">
        <v>1240</v>
      </c>
    </row>
    <row r="17" spans="1:22" ht="60">
      <c r="A17" s="12"/>
      <c r="B17" s="12" t="s">
        <v>259</v>
      </c>
      <c r="C17" s="85" t="s">
        <v>260</v>
      </c>
      <c r="D17" s="86">
        <f t="shared" si="2"/>
        <v>28022373</v>
      </c>
      <c r="E17" s="87">
        <v>0</v>
      </c>
      <c r="F17" s="87">
        <v>0</v>
      </c>
      <c r="G17" s="87">
        <f>15000000+13022373</f>
        <v>28022373</v>
      </c>
      <c r="H17" s="87">
        <v>0</v>
      </c>
      <c r="I17" s="87">
        <v>0</v>
      </c>
      <c r="J17" s="87">
        <v>0</v>
      </c>
      <c r="K17" s="87">
        <v>0</v>
      </c>
      <c r="L17" s="230">
        <v>0</v>
      </c>
      <c r="M17" s="86">
        <f t="shared" si="3"/>
        <v>28022373</v>
      </c>
      <c r="N17" s="87">
        <v>0</v>
      </c>
      <c r="O17" s="87">
        <v>0</v>
      </c>
      <c r="P17" s="87">
        <f>15000000+13022373</f>
        <v>28022373</v>
      </c>
      <c r="Q17" s="87">
        <v>0</v>
      </c>
      <c r="R17" s="87">
        <v>0</v>
      </c>
      <c r="S17" s="87">
        <v>0</v>
      </c>
      <c r="T17" s="87">
        <v>0</v>
      </c>
      <c r="U17" s="230">
        <v>0</v>
      </c>
      <c r="V17" s="232" t="s">
        <v>1241</v>
      </c>
    </row>
    <row r="18" spans="1:22" ht="30">
      <c r="A18" s="12"/>
      <c r="B18" s="12" t="s">
        <v>261</v>
      </c>
      <c r="C18" s="19" t="s">
        <v>909</v>
      </c>
      <c r="D18" s="86">
        <f t="shared" si="2"/>
        <v>91309804</v>
      </c>
      <c r="E18" s="87">
        <v>0</v>
      </c>
      <c r="F18" s="87">
        <v>0</v>
      </c>
      <c r="G18" s="87">
        <v>0</v>
      </c>
      <c r="H18" s="87">
        <v>0</v>
      </c>
      <c r="I18" s="87">
        <f>80000000+6200000+5109804</f>
        <v>91309804</v>
      </c>
      <c r="J18" s="87">
        <v>0</v>
      </c>
      <c r="K18" s="87">
        <v>0</v>
      </c>
      <c r="L18" s="231">
        <v>0</v>
      </c>
      <c r="M18" s="86">
        <f t="shared" si="3"/>
        <v>91309804</v>
      </c>
      <c r="N18" s="87">
        <v>0</v>
      </c>
      <c r="O18" s="87">
        <v>0</v>
      </c>
      <c r="P18" s="87">
        <v>0</v>
      </c>
      <c r="Q18" s="87">
        <v>0</v>
      </c>
      <c r="R18" s="87">
        <f>80000000+6200000+5109804</f>
        <v>91309804</v>
      </c>
      <c r="S18" s="87">
        <v>0</v>
      </c>
      <c r="T18" s="87">
        <v>0</v>
      </c>
      <c r="U18" s="231">
        <v>0</v>
      </c>
      <c r="V18" s="232" t="s">
        <v>1242</v>
      </c>
    </row>
    <row r="19" spans="1:22" ht="18">
      <c r="A19" s="12"/>
      <c r="B19" s="12" t="s">
        <v>262</v>
      </c>
      <c r="C19" s="85" t="s">
        <v>263</v>
      </c>
      <c r="D19" s="86">
        <f t="shared" si="2"/>
        <v>647672534</v>
      </c>
      <c r="E19" s="87">
        <v>0</v>
      </c>
      <c r="F19" s="87">
        <v>0</v>
      </c>
      <c r="G19" s="87">
        <f>620000000+27672534</f>
        <v>647672534</v>
      </c>
      <c r="H19" s="87">
        <v>0</v>
      </c>
      <c r="I19" s="87">
        <v>0</v>
      </c>
      <c r="J19" s="87">
        <v>0</v>
      </c>
      <c r="K19" s="87">
        <v>0</v>
      </c>
      <c r="L19" s="230">
        <v>0</v>
      </c>
      <c r="M19" s="86">
        <f t="shared" si="3"/>
        <v>647672534</v>
      </c>
      <c r="N19" s="87">
        <v>0</v>
      </c>
      <c r="O19" s="87">
        <v>0</v>
      </c>
      <c r="P19" s="87">
        <f>620000000+27672534</f>
        <v>647672534</v>
      </c>
      <c r="Q19" s="87">
        <v>0</v>
      </c>
      <c r="R19" s="87">
        <v>0</v>
      </c>
      <c r="S19" s="87">
        <v>0</v>
      </c>
      <c r="T19" s="87">
        <v>0</v>
      </c>
      <c r="U19" s="230">
        <v>0</v>
      </c>
      <c r="V19" s="232" t="s">
        <v>1243</v>
      </c>
    </row>
    <row r="20" spans="1:22" ht="18">
      <c r="A20" s="12"/>
      <c r="B20" s="12" t="s">
        <v>264</v>
      </c>
      <c r="C20" s="85" t="s">
        <v>265</v>
      </c>
      <c r="D20" s="86">
        <f t="shared" si="2"/>
        <v>23893977</v>
      </c>
      <c r="E20" s="87">
        <v>0</v>
      </c>
      <c r="F20" s="87">
        <v>0</v>
      </c>
      <c r="G20" s="87">
        <f>18000000+5893977</f>
        <v>23893977</v>
      </c>
      <c r="H20" s="87">
        <v>0</v>
      </c>
      <c r="I20" s="87">
        <v>0</v>
      </c>
      <c r="J20" s="87">
        <v>0</v>
      </c>
      <c r="K20" s="87">
        <v>0</v>
      </c>
      <c r="L20" s="230">
        <v>0</v>
      </c>
      <c r="M20" s="86">
        <f t="shared" si="3"/>
        <v>23893977</v>
      </c>
      <c r="N20" s="87">
        <v>0</v>
      </c>
      <c r="O20" s="87">
        <v>0</v>
      </c>
      <c r="P20" s="87">
        <f>18000000+5893977</f>
        <v>23893977</v>
      </c>
      <c r="Q20" s="87">
        <v>0</v>
      </c>
      <c r="R20" s="87">
        <v>0</v>
      </c>
      <c r="S20" s="87">
        <v>0</v>
      </c>
      <c r="T20" s="87">
        <v>0</v>
      </c>
      <c r="U20" s="230">
        <v>0</v>
      </c>
      <c r="V20" s="232" t="s">
        <v>1244</v>
      </c>
    </row>
    <row r="21" spans="1:22" ht="30">
      <c r="A21" s="12"/>
      <c r="B21" s="12" t="s">
        <v>266</v>
      </c>
      <c r="C21" s="85" t="s">
        <v>267</v>
      </c>
      <c r="D21" s="86">
        <f t="shared" si="2"/>
        <v>20000000</v>
      </c>
      <c r="E21" s="87">
        <v>0</v>
      </c>
      <c r="F21" s="87">
        <v>0</v>
      </c>
      <c r="G21" s="87">
        <v>20000000</v>
      </c>
      <c r="H21" s="87">
        <v>0</v>
      </c>
      <c r="I21" s="87">
        <v>0</v>
      </c>
      <c r="J21" s="87">
        <v>0</v>
      </c>
      <c r="K21" s="87">
        <v>0</v>
      </c>
      <c r="L21" s="230">
        <v>0</v>
      </c>
      <c r="M21" s="86">
        <f t="shared" si="3"/>
        <v>20000000</v>
      </c>
      <c r="N21" s="87">
        <v>0</v>
      </c>
      <c r="O21" s="87">
        <v>0</v>
      </c>
      <c r="P21" s="87">
        <v>20000000</v>
      </c>
      <c r="Q21" s="87">
        <v>0</v>
      </c>
      <c r="R21" s="87">
        <v>0</v>
      </c>
      <c r="S21" s="87">
        <v>0</v>
      </c>
      <c r="T21" s="87">
        <v>0</v>
      </c>
      <c r="U21" s="230">
        <v>0</v>
      </c>
      <c r="V21" s="232" t="s">
        <v>1245</v>
      </c>
    </row>
    <row r="22" spans="1:22" ht="30">
      <c r="A22" s="12"/>
      <c r="B22" s="12" t="s">
        <v>268</v>
      </c>
      <c r="C22" s="89" t="s">
        <v>271</v>
      </c>
      <c r="D22" s="86">
        <f t="shared" si="2"/>
        <v>26101869</v>
      </c>
      <c r="E22" s="87">
        <v>0</v>
      </c>
      <c r="F22" s="87">
        <v>0</v>
      </c>
      <c r="G22" s="87">
        <f>18000000+8101869</f>
        <v>26101869</v>
      </c>
      <c r="H22" s="87">
        <v>0</v>
      </c>
      <c r="I22" s="87">
        <v>0</v>
      </c>
      <c r="J22" s="87">
        <v>0</v>
      </c>
      <c r="K22" s="87">
        <v>0</v>
      </c>
      <c r="L22" s="230">
        <v>0</v>
      </c>
      <c r="M22" s="86">
        <f t="shared" si="3"/>
        <v>26101869</v>
      </c>
      <c r="N22" s="87">
        <v>0</v>
      </c>
      <c r="O22" s="87">
        <v>0</v>
      </c>
      <c r="P22" s="87">
        <f>18000000+8101869</f>
        <v>26101869</v>
      </c>
      <c r="Q22" s="87">
        <v>0</v>
      </c>
      <c r="R22" s="87">
        <v>0</v>
      </c>
      <c r="S22" s="87">
        <v>0</v>
      </c>
      <c r="T22" s="87">
        <v>0</v>
      </c>
      <c r="U22" s="230">
        <v>0</v>
      </c>
      <c r="V22" s="232" t="s">
        <v>1246</v>
      </c>
    </row>
    <row r="23" spans="1:22" ht="18">
      <c r="A23" s="12"/>
      <c r="B23" s="12" t="s">
        <v>270</v>
      </c>
      <c r="C23" s="89" t="s">
        <v>275</v>
      </c>
      <c r="D23" s="86">
        <f t="shared" si="2"/>
        <v>249847253</v>
      </c>
      <c r="E23" s="87">
        <v>0</v>
      </c>
      <c r="F23" s="87">
        <v>0</v>
      </c>
      <c r="G23" s="87">
        <f>285000000+49847253-50000000-35000000</f>
        <v>249847253</v>
      </c>
      <c r="H23" s="87">
        <v>0</v>
      </c>
      <c r="I23" s="87">
        <v>0</v>
      </c>
      <c r="J23" s="87">
        <v>0</v>
      </c>
      <c r="K23" s="87">
        <v>0</v>
      </c>
      <c r="L23" s="230">
        <v>0</v>
      </c>
      <c r="M23" s="86">
        <f t="shared" si="3"/>
        <v>249847253</v>
      </c>
      <c r="N23" s="87">
        <v>0</v>
      </c>
      <c r="O23" s="87">
        <v>0</v>
      </c>
      <c r="P23" s="87">
        <f>285000000+49847253-50000000-35000000</f>
        <v>249847253</v>
      </c>
      <c r="Q23" s="87">
        <v>0</v>
      </c>
      <c r="R23" s="87">
        <v>0</v>
      </c>
      <c r="S23" s="87">
        <v>0</v>
      </c>
      <c r="T23" s="87">
        <v>0</v>
      </c>
      <c r="U23" s="230">
        <v>0</v>
      </c>
      <c r="V23" s="232" t="s">
        <v>1247</v>
      </c>
    </row>
    <row r="24" spans="1:22" ht="18">
      <c r="A24" s="12"/>
      <c r="B24" s="12" t="s">
        <v>272</v>
      </c>
      <c r="C24" s="90" t="s">
        <v>277</v>
      </c>
      <c r="D24" s="86">
        <f t="shared" si="2"/>
        <v>383783654</v>
      </c>
      <c r="E24" s="87">
        <v>0</v>
      </c>
      <c r="F24" s="87">
        <v>0</v>
      </c>
      <c r="G24" s="87">
        <f>779000000+33783654-378460000-50540000</f>
        <v>383783654</v>
      </c>
      <c r="H24" s="87">
        <v>0</v>
      </c>
      <c r="I24" s="87">
        <v>0</v>
      </c>
      <c r="J24" s="87">
        <v>0</v>
      </c>
      <c r="K24" s="87">
        <v>0</v>
      </c>
      <c r="L24" s="230">
        <v>0</v>
      </c>
      <c r="M24" s="86">
        <f t="shared" si="3"/>
        <v>383783654</v>
      </c>
      <c r="N24" s="87">
        <v>0</v>
      </c>
      <c r="O24" s="87">
        <v>0</v>
      </c>
      <c r="P24" s="87">
        <f>779000000+33783654-378460000-50540000</f>
        <v>383783654</v>
      </c>
      <c r="Q24" s="87">
        <v>0</v>
      </c>
      <c r="R24" s="87">
        <v>0</v>
      </c>
      <c r="S24" s="87">
        <v>0</v>
      </c>
      <c r="T24" s="87">
        <v>0</v>
      </c>
      <c r="U24" s="230">
        <v>0</v>
      </c>
      <c r="V24" s="232" t="s">
        <v>1248</v>
      </c>
    </row>
    <row r="25" spans="1:22" ht="18">
      <c r="A25" s="12"/>
      <c r="B25" s="12" t="s">
        <v>274</v>
      </c>
      <c r="C25" s="89" t="s">
        <v>279</v>
      </c>
      <c r="D25" s="86">
        <f t="shared" si="2"/>
        <v>54486301</v>
      </c>
      <c r="E25" s="87">
        <v>0</v>
      </c>
      <c r="F25" s="87">
        <v>0</v>
      </c>
      <c r="G25" s="87">
        <f>100000000+4486301-50000000</f>
        <v>54486301</v>
      </c>
      <c r="H25" s="87">
        <v>0</v>
      </c>
      <c r="I25" s="87">
        <v>0</v>
      </c>
      <c r="J25" s="87">
        <v>0</v>
      </c>
      <c r="K25" s="87">
        <v>0</v>
      </c>
      <c r="L25" s="230">
        <v>0</v>
      </c>
      <c r="M25" s="86">
        <f t="shared" si="3"/>
        <v>54486301</v>
      </c>
      <c r="N25" s="87">
        <v>0</v>
      </c>
      <c r="O25" s="87">
        <v>0</v>
      </c>
      <c r="P25" s="87">
        <f>100000000+4486301-50000000</f>
        <v>54486301</v>
      </c>
      <c r="Q25" s="87">
        <v>0</v>
      </c>
      <c r="R25" s="87">
        <v>0</v>
      </c>
      <c r="S25" s="87">
        <v>0</v>
      </c>
      <c r="T25" s="87">
        <v>0</v>
      </c>
      <c r="U25" s="230">
        <v>0</v>
      </c>
      <c r="V25" s="232" t="s">
        <v>1249</v>
      </c>
    </row>
    <row r="26" spans="1:22" ht="18">
      <c r="A26" s="12"/>
      <c r="B26" s="12" t="s">
        <v>276</v>
      </c>
      <c r="C26" s="89" t="s">
        <v>281</v>
      </c>
      <c r="D26" s="86">
        <f t="shared" si="2"/>
        <v>69618269</v>
      </c>
      <c r="E26" s="87">
        <v>0</v>
      </c>
      <c r="F26" s="87">
        <v>0</v>
      </c>
      <c r="G26" s="87">
        <f>62000000+12618269-5000000</f>
        <v>69618269</v>
      </c>
      <c r="H26" s="87">
        <v>0</v>
      </c>
      <c r="I26" s="87">
        <v>0</v>
      </c>
      <c r="J26" s="87">
        <v>0</v>
      </c>
      <c r="K26" s="87">
        <v>0</v>
      </c>
      <c r="L26" s="230">
        <v>0</v>
      </c>
      <c r="M26" s="86">
        <f t="shared" si="3"/>
        <v>69618269</v>
      </c>
      <c r="N26" s="87">
        <v>0</v>
      </c>
      <c r="O26" s="87">
        <v>0</v>
      </c>
      <c r="P26" s="87">
        <f>62000000+12618269-5000000</f>
        <v>69618269</v>
      </c>
      <c r="Q26" s="87">
        <v>0</v>
      </c>
      <c r="R26" s="87">
        <v>0</v>
      </c>
      <c r="S26" s="87">
        <v>0</v>
      </c>
      <c r="T26" s="87">
        <v>0</v>
      </c>
      <c r="U26" s="230">
        <v>0</v>
      </c>
      <c r="V26" s="232" t="s">
        <v>1250</v>
      </c>
    </row>
    <row r="27" spans="1:22" ht="18">
      <c r="A27" s="12"/>
      <c r="B27" s="12" t="s">
        <v>278</v>
      </c>
      <c r="C27" s="89" t="s">
        <v>283</v>
      </c>
      <c r="D27" s="86">
        <f t="shared" si="2"/>
        <v>90166154</v>
      </c>
      <c r="E27" s="87">
        <v>0</v>
      </c>
      <c r="F27" s="87">
        <v>0</v>
      </c>
      <c r="G27" s="87">
        <f>95000000+4166154-9000000</f>
        <v>90166154</v>
      </c>
      <c r="H27" s="87">
        <v>0</v>
      </c>
      <c r="I27" s="87">
        <v>0</v>
      </c>
      <c r="J27" s="87">
        <v>0</v>
      </c>
      <c r="K27" s="87">
        <v>0</v>
      </c>
      <c r="L27" s="230">
        <v>0</v>
      </c>
      <c r="M27" s="86">
        <f t="shared" si="3"/>
        <v>90166154</v>
      </c>
      <c r="N27" s="87">
        <v>0</v>
      </c>
      <c r="O27" s="87">
        <v>0</v>
      </c>
      <c r="P27" s="87">
        <f>95000000+4166154-9000000</f>
        <v>90166154</v>
      </c>
      <c r="Q27" s="87">
        <v>0</v>
      </c>
      <c r="R27" s="87">
        <v>0</v>
      </c>
      <c r="S27" s="87">
        <v>0</v>
      </c>
      <c r="T27" s="87">
        <v>0</v>
      </c>
      <c r="U27" s="230">
        <v>0</v>
      </c>
      <c r="V27" s="232" t="s">
        <v>1251</v>
      </c>
    </row>
    <row r="28" spans="1:22" ht="30">
      <c r="A28" s="12"/>
      <c r="B28" s="12" t="s">
        <v>280</v>
      </c>
      <c r="C28" s="89" t="s">
        <v>826</v>
      </c>
      <c r="D28" s="86">
        <f t="shared" si="2"/>
        <v>39551978</v>
      </c>
      <c r="E28" s="87">
        <v>0</v>
      </c>
      <c r="F28" s="87">
        <v>0</v>
      </c>
      <c r="G28" s="87">
        <f>65000000+4551978-30000000</f>
        <v>39551978</v>
      </c>
      <c r="H28" s="87">
        <v>0</v>
      </c>
      <c r="I28" s="87">
        <v>0</v>
      </c>
      <c r="J28" s="87">
        <v>0</v>
      </c>
      <c r="K28" s="87">
        <v>0</v>
      </c>
      <c r="L28" s="230">
        <v>0</v>
      </c>
      <c r="M28" s="86">
        <f t="shared" si="3"/>
        <v>39551978</v>
      </c>
      <c r="N28" s="87">
        <v>0</v>
      </c>
      <c r="O28" s="87">
        <v>0</v>
      </c>
      <c r="P28" s="87">
        <f>65000000+4551978-30000000</f>
        <v>39551978</v>
      </c>
      <c r="Q28" s="87">
        <v>0</v>
      </c>
      <c r="R28" s="87">
        <v>0</v>
      </c>
      <c r="S28" s="87">
        <v>0</v>
      </c>
      <c r="T28" s="87">
        <v>0</v>
      </c>
      <c r="U28" s="230">
        <v>0</v>
      </c>
      <c r="V28" s="232" t="s">
        <v>1252</v>
      </c>
    </row>
    <row r="29" spans="1:22" ht="30">
      <c r="A29" s="12"/>
      <c r="B29" s="12" t="s">
        <v>282</v>
      </c>
      <c r="C29" s="89" t="s">
        <v>286</v>
      </c>
      <c r="D29" s="86">
        <f t="shared" si="2"/>
        <v>13178639</v>
      </c>
      <c r="E29" s="87">
        <v>0</v>
      </c>
      <c r="F29" s="87">
        <v>0</v>
      </c>
      <c r="G29" s="87">
        <f>7000000+6178639</f>
        <v>13178639</v>
      </c>
      <c r="H29" s="87">
        <v>0</v>
      </c>
      <c r="I29" s="87">
        <v>0</v>
      </c>
      <c r="J29" s="87">
        <v>0</v>
      </c>
      <c r="K29" s="87">
        <v>0</v>
      </c>
      <c r="L29" s="230">
        <v>0</v>
      </c>
      <c r="M29" s="86">
        <f t="shared" si="3"/>
        <v>13178639</v>
      </c>
      <c r="N29" s="87">
        <v>0</v>
      </c>
      <c r="O29" s="87">
        <v>0</v>
      </c>
      <c r="P29" s="87">
        <f>7000000+6178639</f>
        <v>13178639</v>
      </c>
      <c r="Q29" s="87">
        <v>0</v>
      </c>
      <c r="R29" s="87">
        <v>0</v>
      </c>
      <c r="S29" s="87">
        <v>0</v>
      </c>
      <c r="T29" s="87">
        <v>0</v>
      </c>
      <c r="U29" s="230">
        <v>0</v>
      </c>
      <c r="V29" s="232" t="s">
        <v>1253</v>
      </c>
    </row>
    <row r="30" spans="1:22" ht="18">
      <c r="A30" s="12"/>
      <c r="B30" s="12" t="s">
        <v>284</v>
      </c>
      <c r="C30" s="89" t="s">
        <v>908</v>
      </c>
      <c r="D30" s="86">
        <f t="shared" si="2"/>
        <v>8520700</v>
      </c>
      <c r="E30" s="87">
        <v>0</v>
      </c>
      <c r="F30" s="87">
        <v>0</v>
      </c>
      <c r="G30" s="87">
        <v>8000000</v>
      </c>
      <c r="H30" s="87">
        <v>0</v>
      </c>
      <c r="I30" s="87">
        <v>0</v>
      </c>
      <c r="J30" s="87">
        <f>0+520700</f>
        <v>520700</v>
      </c>
      <c r="K30" s="87">
        <v>0</v>
      </c>
      <c r="L30" s="230">
        <v>0</v>
      </c>
      <c r="M30" s="86">
        <f t="shared" si="3"/>
        <v>8520700</v>
      </c>
      <c r="N30" s="87">
        <v>0</v>
      </c>
      <c r="O30" s="87">
        <v>0</v>
      </c>
      <c r="P30" s="87">
        <v>8000000</v>
      </c>
      <c r="Q30" s="87">
        <v>0</v>
      </c>
      <c r="R30" s="87">
        <v>0</v>
      </c>
      <c r="S30" s="87">
        <f>0+520700</f>
        <v>520700</v>
      </c>
      <c r="T30" s="87">
        <v>0</v>
      </c>
      <c r="U30" s="230">
        <v>0</v>
      </c>
      <c r="V30" s="232" t="s">
        <v>1254</v>
      </c>
    </row>
    <row r="31" spans="1:22" ht="30">
      <c r="A31" s="12"/>
      <c r="B31" s="12" t="s">
        <v>285</v>
      </c>
      <c r="C31" s="91" t="s">
        <v>288</v>
      </c>
      <c r="D31" s="86">
        <f t="shared" si="2"/>
        <v>773700000</v>
      </c>
      <c r="E31" s="87">
        <v>0</v>
      </c>
      <c r="F31" s="87">
        <v>0</v>
      </c>
      <c r="G31" s="87">
        <f>773600000+100000</f>
        <v>773700000</v>
      </c>
      <c r="H31" s="87">
        <v>0</v>
      </c>
      <c r="I31" s="87">
        <v>0</v>
      </c>
      <c r="J31" s="87">
        <v>0</v>
      </c>
      <c r="K31" s="87">
        <v>0</v>
      </c>
      <c r="L31" s="230">
        <v>0</v>
      </c>
      <c r="M31" s="86">
        <f t="shared" si="3"/>
        <v>773700000</v>
      </c>
      <c r="N31" s="87">
        <v>0</v>
      </c>
      <c r="O31" s="87">
        <v>0</v>
      </c>
      <c r="P31" s="87">
        <f>773600000+100000</f>
        <v>773700000</v>
      </c>
      <c r="Q31" s="87">
        <v>0</v>
      </c>
      <c r="R31" s="87">
        <v>0</v>
      </c>
      <c r="S31" s="87">
        <v>0</v>
      </c>
      <c r="T31" s="87">
        <v>0</v>
      </c>
      <c r="U31" s="230">
        <v>0</v>
      </c>
      <c r="V31" s="232" t="s">
        <v>1255</v>
      </c>
    </row>
    <row r="32" spans="1:22" ht="18">
      <c r="A32" s="12"/>
      <c r="B32" s="12" t="s">
        <v>287</v>
      </c>
      <c r="C32" s="91" t="s">
        <v>795</v>
      </c>
      <c r="D32" s="86">
        <f t="shared" si="2"/>
        <v>204591154</v>
      </c>
      <c r="E32" s="87">
        <v>0</v>
      </c>
      <c r="F32" s="87">
        <v>0</v>
      </c>
      <c r="G32" s="87">
        <v>204591154</v>
      </c>
      <c r="H32" s="87">
        <v>0</v>
      </c>
      <c r="I32" s="87">
        <v>0</v>
      </c>
      <c r="J32" s="87">
        <v>0</v>
      </c>
      <c r="K32" s="87">
        <v>0</v>
      </c>
      <c r="L32" s="230">
        <v>0</v>
      </c>
      <c r="M32" s="86">
        <f t="shared" si="3"/>
        <v>204591154</v>
      </c>
      <c r="N32" s="87">
        <v>0</v>
      </c>
      <c r="O32" s="87">
        <v>0</v>
      </c>
      <c r="P32" s="87">
        <v>204591154</v>
      </c>
      <c r="Q32" s="87">
        <v>0</v>
      </c>
      <c r="R32" s="87">
        <v>0</v>
      </c>
      <c r="S32" s="87">
        <v>0</v>
      </c>
      <c r="T32" s="87">
        <v>0</v>
      </c>
      <c r="U32" s="230">
        <v>0</v>
      </c>
      <c r="V32" s="232" t="s">
        <v>1256</v>
      </c>
    </row>
    <row r="33" spans="1:22" ht="18">
      <c r="A33" s="12" t="s">
        <v>53</v>
      </c>
      <c r="B33" s="12"/>
      <c r="C33" s="82" t="s">
        <v>42</v>
      </c>
      <c r="D33" s="83">
        <f>SUM(E33:L33)</f>
        <v>354255718</v>
      </c>
      <c r="E33" s="84">
        <f aca="true" t="shared" si="4" ref="E33:L33">SUM(E34:E49)</f>
        <v>0</v>
      </c>
      <c r="F33" s="84">
        <f t="shared" si="4"/>
        <v>0</v>
      </c>
      <c r="G33" s="84">
        <f t="shared" si="4"/>
        <v>343291824</v>
      </c>
      <c r="H33" s="84">
        <f t="shared" si="4"/>
        <v>0</v>
      </c>
      <c r="I33" s="84">
        <f t="shared" si="4"/>
        <v>0</v>
      </c>
      <c r="J33" s="84">
        <f t="shared" si="4"/>
        <v>10963894</v>
      </c>
      <c r="K33" s="84">
        <f t="shared" si="4"/>
        <v>0</v>
      </c>
      <c r="L33" s="229">
        <f t="shared" si="4"/>
        <v>0</v>
      </c>
      <c r="M33" s="83">
        <f>SUM(N33:U33)</f>
        <v>354255718</v>
      </c>
      <c r="N33" s="84">
        <f aca="true" t="shared" si="5" ref="N33:U33">SUM(N34:N49)</f>
        <v>0</v>
      </c>
      <c r="O33" s="84">
        <f t="shared" si="5"/>
        <v>0</v>
      </c>
      <c r="P33" s="84">
        <f t="shared" si="5"/>
        <v>343291824</v>
      </c>
      <c r="Q33" s="84">
        <f t="shared" si="5"/>
        <v>0</v>
      </c>
      <c r="R33" s="84">
        <f t="shared" si="5"/>
        <v>0</v>
      </c>
      <c r="S33" s="84">
        <f t="shared" si="5"/>
        <v>10963894</v>
      </c>
      <c r="T33" s="84">
        <f t="shared" si="5"/>
        <v>0</v>
      </c>
      <c r="U33" s="229">
        <f t="shared" si="5"/>
        <v>0</v>
      </c>
      <c r="V33" s="82"/>
    </row>
    <row r="34" spans="1:22" ht="18">
      <c r="A34" s="12"/>
      <c r="B34" s="12" t="s">
        <v>289</v>
      </c>
      <c r="C34" s="85" t="s">
        <v>290</v>
      </c>
      <c r="D34" s="86">
        <f aca="true" t="shared" si="6" ref="D34:D49">SUM(E34:L34)</f>
        <v>160949127</v>
      </c>
      <c r="E34" s="87">
        <v>0</v>
      </c>
      <c r="F34" s="87">
        <v>0</v>
      </c>
      <c r="G34" s="87">
        <f>155000000+5949127</f>
        <v>160949127</v>
      </c>
      <c r="H34" s="87">
        <v>0</v>
      </c>
      <c r="I34" s="87">
        <v>0</v>
      </c>
      <c r="J34" s="87">
        <v>0</v>
      </c>
      <c r="K34" s="87">
        <v>0</v>
      </c>
      <c r="L34" s="230">
        <v>0</v>
      </c>
      <c r="M34" s="86">
        <f aca="true" t="shared" si="7" ref="M34:M49">SUM(N34:U34)</f>
        <v>160949127</v>
      </c>
      <c r="N34" s="87">
        <v>0</v>
      </c>
      <c r="O34" s="87">
        <v>0</v>
      </c>
      <c r="P34" s="87">
        <f>155000000+5949127</f>
        <v>160949127</v>
      </c>
      <c r="Q34" s="87">
        <v>0</v>
      </c>
      <c r="R34" s="87">
        <v>0</v>
      </c>
      <c r="S34" s="87">
        <v>0</v>
      </c>
      <c r="T34" s="87">
        <v>0</v>
      </c>
      <c r="U34" s="230">
        <v>0</v>
      </c>
      <c r="V34" s="232" t="s">
        <v>1257</v>
      </c>
    </row>
    <row r="35" spans="1:22" ht="19.5" customHeight="1">
      <c r="A35" s="12"/>
      <c r="B35" s="12" t="s">
        <v>291</v>
      </c>
      <c r="C35" s="88" t="s">
        <v>292</v>
      </c>
      <c r="D35" s="86">
        <f t="shared" si="6"/>
        <v>8000000</v>
      </c>
      <c r="E35" s="87">
        <v>0</v>
      </c>
      <c r="F35" s="87">
        <v>0</v>
      </c>
      <c r="G35" s="87">
        <v>8000000</v>
      </c>
      <c r="H35" s="87">
        <v>0</v>
      </c>
      <c r="I35" s="87">
        <v>0</v>
      </c>
      <c r="J35" s="87">
        <v>0</v>
      </c>
      <c r="K35" s="87">
        <v>0</v>
      </c>
      <c r="L35" s="230">
        <v>0</v>
      </c>
      <c r="M35" s="86">
        <f t="shared" si="7"/>
        <v>8000000</v>
      </c>
      <c r="N35" s="87">
        <v>0</v>
      </c>
      <c r="O35" s="87">
        <v>0</v>
      </c>
      <c r="P35" s="87">
        <v>8000000</v>
      </c>
      <c r="Q35" s="87">
        <v>0</v>
      </c>
      <c r="R35" s="87">
        <v>0</v>
      </c>
      <c r="S35" s="87">
        <v>0</v>
      </c>
      <c r="T35" s="87">
        <v>0</v>
      </c>
      <c r="U35" s="230">
        <v>0</v>
      </c>
      <c r="V35" s="232" t="s">
        <v>1258</v>
      </c>
    </row>
    <row r="36" spans="1:22" ht="19.5" customHeight="1">
      <c r="A36" s="12"/>
      <c r="B36" s="12" t="s">
        <v>293</v>
      </c>
      <c r="C36" s="88" t="s">
        <v>294</v>
      </c>
      <c r="D36" s="86">
        <f t="shared" si="6"/>
        <v>11159500</v>
      </c>
      <c r="E36" s="87">
        <v>0</v>
      </c>
      <c r="F36" s="87">
        <v>0</v>
      </c>
      <c r="G36" s="87">
        <f>20000000+6159500-15000000</f>
        <v>11159500</v>
      </c>
      <c r="H36" s="87">
        <v>0</v>
      </c>
      <c r="I36" s="87">
        <v>0</v>
      </c>
      <c r="J36" s="87">
        <v>0</v>
      </c>
      <c r="K36" s="87">
        <v>0</v>
      </c>
      <c r="L36" s="230">
        <v>0</v>
      </c>
      <c r="M36" s="86">
        <f t="shared" si="7"/>
        <v>11159500</v>
      </c>
      <c r="N36" s="87">
        <v>0</v>
      </c>
      <c r="O36" s="87">
        <v>0</v>
      </c>
      <c r="P36" s="87">
        <f>20000000+6159500-15000000</f>
        <v>11159500</v>
      </c>
      <c r="Q36" s="87">
        <v>0</v>
      </c>
      <c r="R36" s="87">
        <v>0</v>
      </c>
      <c r="S36" s="87">
        <v>0</v>
      </c>
      <c r="T36" s="87">
        <v>0</v>
      </c>
      <c r="U36" s="230">
        <v>0</v>
      </c>
      <c r="V36" s="232" t="s">
        <v>1259</v>
      </c>
    </row>
    <row r="37" spans="1:22" ht="30">
      <c r="A37" s="12"/>
      <c r="B37" s="12" t="s">
        <v>295</v>
      </c>
      <c r="C37" s="88" t="s">
        <v>296</v>
      </c>
      <c r="D37" s="86">
        <f t="shared" si="6"/>
        <v>5000000</v>
      </c>
      <c r="E37" s="87">
        <v>0</v>
      </c>
      <c r="F37" s="87">
        <v>0</v>
      </c>
      <c r="G37" s="87">
        <v>5000000</v>
      </c>
      <c r="H37" s="87">
        <v>0</v>
      </c>
      <c r="I37" s="87">
        <v>0</v>
      </c>
      <c r="J37" s="87">
        <v>0</v>
      </c>
      <c r="K37" s="87">
        <v>0</v>
      </c>
      <c r="L37" s="230">
        <v>0</v>
      </c>
      <c r="M37" s="86">
        <f t="shared" si="7"/>
        <v>5000000</v>
      </c>
      <c r="N37" s="87">
        <v>0</v>
      </c>
      <c r="O37" s="87">
        <v>0</v>
      </c>
      <c r="P37" s="87">
        <v>5000000</v>
      </c>
      <c r="Q37" s="87">
        <v>0</v>
      </c>
      <c r="R37" s="87">
        <v>0</v>
      </c>
      <c r="S37" s="87">
        <v>0</v>
      </c>
      <c r="T37" s="87">
        <v>0</v>
      </c>
      <c r="U37" s="230">
        <v>0</v>
      </c>
      <c r="V37" s="232" t="s">
        <v>1260</v>
      </c>
    </row>
    <row r="38" spans="1:22" ht="18">
      <c r="A38" s="12"/>
      <c r="B38" s="12" t="s">
        <v>297</v>
      </c>
      <c r="C38" s="89" t="s">
        <v>298</v>
      </c>
      <c r="D38" s="86">
        <f t="shared" si="6"/>
        <v>10000000</v>
      </c>
      <c r="E38" s="87">
        <v>0</v>
      </c>
      <c r="F38" s="87">
        <v>0</v>
      </c>
      <c r="G38" s="87">
        <v>10000000</v>
      </c>
      <c r="H38" s="87">
        <v>0</v>
      </c>
      <c r="I38" s="87">
        <v>0</v>
      </c>
      <c r="J38" s="87">
        <v>0</v>
      </c>
      <c r="K38" s="87">
        <v>0</v>
      </c>
      <c r="L38" s="230">
        <v>0</v>
      </c>
      <c r="M38" s="86">
        <f t="shared" si="7"/>
        <v>10000000</v>
      </c>
      <c r="N38" s="87">
        <v>0</v>
      </c>
      <c r="O38" s="87">
        <v>0</v>
      </c>
      <c r="P38" s="87">
        <v>10000000</v>
      </c>
      <c r="Q38" s="87">
        <v>0</v>
      </c>
      <c r="R38" s="87">
        <v>0</v>
      </c>
      <c r="S38" s="87">
        <v>0</v>
      </c>
      <c r="T38" s="87">
        <v>0</v>
      </c>
      <c r="U38" s="230">
        <v>0</v>
      </c>
      <c r="V38" s="232" t="s">
        <v>1261</v>
      </c>
    </row>
    <row r="39" spans="1:22" ht="19.5" customHeight="1">
      <c r="A39" s="12"/>
      <c r="B39" s="12" t="s">
        <v>299</v>
      </c>
      <c r="C39" s="88" t="s">
        <v>300</v>
      </c>
      <c r="D39" s="86">
        <f t="shared" si="6"/>
        <v>25517900</v>
      </c>
      <c r="E39" s="87">
        <v>0</v>
      </c>
      <c r="F39" s="87">
        <v>0</v>
      </c>
      <c r="G39" s="87">
        <f>22000000+3517900</f>
        <v>25517900</v>
      </c>
      <c r="H39" s="87">
        <v>0</v>
      </c>
      <c r="I39" s="87">
        <v>0</v>
      </c>
      <c r="J39" s="87">
        <v>0</v>
      </c>
      <c r="K39" s="87">
        <v>0</v>
      </c>
      <c r="L39" s="230">
        <v>0</v>
      </c>
      <c r="M39" s="86">
        <f t="shared" si="7"/>
        <v>25517900</v>
      </c>
      <c r="N39" s="87">
        <v>0</v>
      </c>
      <c r="O39" s="87">
        <v>0</v>
      </c>
      <c r="P39" s="87">
        <f>22000000+3517900</f>
        <v>25517900</v>
      </c>
      <c r="Q39" s="87">
        <v>0</v>
      </c>
      <c r="R39" s="87">
        <v>0</v>
      </c>
      <c r="S39" s="87">
        <v>0</v>
      </c>
      <c r="T39" s="87">
        <v>0</v>
      </c>
      <c r="U39" s="230">
        <v>0</v>
      </c>
      <c r="V39" s="232" t="s">
        <v>1262</v>
      </c>
    </row>
    <row r="40" spans="1:22" ht="19.5" customHeight="1">
      <c r="A40" s="12"/>
      <c r="B40" s="12" t="s">
        <v>301</v>
      </c>
      <c r="C40" s="88" t="s">
        <v>302</v>
      </c>
      <c r="D40" s="86">
        <f t="shared" si="6"/>
        <v>20000000</v>
      </c>
      <c r="E40" s="87">
        <v>0</v>
      </c>
      <c r="F40" s="87">
        <v>0</v>
      </c>
      <c r="G40" s="87">
        <v>20000000</v>
      </c>
      <c r="H40" s="87">
        <v>0</v>
      </c>
      <c r="I40" s="87">
        <v>0</v>
      </c>
      <c r="J40" s="87">
        <v>0</v>
      </c>
      <c r="K40" s="87">
        <v>0</v>
      </c>
      <c r="L40" s="230">
        <v>0</v>
      </c>
      <c r="M40" s="86">
        <f t="shared" si="7"/>
        <v>20000000</v>
      </c>
      <c r="N40" s="87">
        <v>0</v>
      </c>
      <c r="O40" s="87">
        <v>0</v>
      </c>
      <c r="P40" s="87">
        <v>20000000</v>
      </c>
      <c r="Q40" s="87">
        <v>0</v>
      </c>
      <c r="R40" s="87">
        <v>0</v>
      </c>
      <c r="S40" s="87">
        <v>0</v>
      </c>
      <c r="T40" s="87">
        <v>0</v>
      </c>
      <c r="U40" s="230">
        <v>0</v>
      </c>
      <c r="V40" s="232" t="s">
        <v>1263</v>
      </c>
    </row>
    <row r="41" spans="1:22" ht="18">
      <c r="A41" s="12"/>
      <c r="B41" s="12" t="s">
        <v>303</v>
      </c>
      <c r="C41" s="88" t="s">
        <v>304</v>
      </c>
      <c r="D41" s="86">
        <f t="shared" si="6"/>
        <v>10000000</v>
      </c>
      <c r="E41" s="87">
        <v>0</v>
      </c>
      <c r="F41" s="87">
        <v>0</v>
      </c>
      <c r="G41" s="87">
        <v>10000000</v>
      </c>
      <c r="H41" s="87">
        <v>0</v>
      </c>
      <c r="I41" s="87">
        <v>0</v>
      </c>
      <c r="J41" s="87">
        <v>0</v>
      </c>
      <c r="K41" s="87">
        <v>0</v>
      </c>
      <c r="L41" s="230">
        <v>0</v>
      </c>
      <c r="M41" s="86">
        <f t="shared" si="7"/>
        <v>10000000</v>
      </c>
      <c r="N41" s="87">
        <v>0</v>
      </c>
      <c r="O41" s="87">
        <v>0</v>
      </c>
      <c r="P41" s="87">
        <v>10000000</v>
      </c>
      <c r="Q41" s="87">
        <v>0</v>
      </c>
      <c r="R41" s="87">
        <v>0</v>
      </c>
      <c r="S41" s="87">
        <v>0</v>
      </c>
      <c r="T41" s="87">
        <v>0</v>
      </c>
      <c r="U41" s="230">
        <v>0</v>
      </c>
      <c r="V41" s="232" t="s">
        <v>1264</v>
      </c>
    </row>
    <row r="42" spans="1:22" ht="30">
      <c r="A42" s="12"/>
      <c r="B42" s="12" t="s">
        <v>305</v>
      </c>
      <c r="C42" s="88" t="s">
        <v>306</v>
      </c>
      <c r="D42" s="86">
        <f t="shared" si="6"/>
        <v>5000000</v>
      </c>
      <c r="E42" s="87">
        <v>0</v>
      </c>
      <c r="F42" s="87">
        <v>0</v>
      </c>
      <c r="G42" s="87">
        <v>5000000</v>
      </c>
      <c r="H42" s="87">
        <v>0</v>
      </c>
      <c r="I42" s="87">
        <v>0</v>
      </c>
      <c r="J42" s="87">
        <v>0</v>
      </c>
      <c r="K42" s="87">
        <v>0</v>
      </c>
      <c r="L42" s="230">
        <v>0</v>
      </c>
      <c r="M42" s="86">
        <f t="shared" si="7"/>
        <v>5000000</v>
      </c>
      <c r="N42" s="87">
        <v>0</v>
      </c>
      <c r="O42" s="87">
        <v>0</v>
      </c>
      <c r="P42" s="87">
        <v>5000000</v>
      </c>
      <c r="Q42" s="87">
        <v>0</v>
      </c>
      <c r="R42" s="87">
        <v>0</v>
      </c>
      <c r="S42" s="87">
        <v>0</v>
      </c>
      <c r="T42" s="87">
        <v>0</v>
      </c>
      <c r="U42" s="230">
        <v>0</v>
      </c>
      <c r="V42" s="232" t="s">
        <v>1265</v>
      </c>
    </row>
    <row r="43" spans="1:22" ht="19.5" customHeight="1">
      <c r="A43" s="12"/>
      <c r="B43" s="12" t="s">
        <v>307</v>
      </c>
      <c r="C43" s="88" t="s">
        <v>308</v>
      </c>
      <c r="D43" s="86">
        <f t="shared" si="6"/>
        <v>24897094</v>
      </c>
      <c r="E43" s="87">
        <v>0</v>
      </c>
      <c r="F43" s="87">
        <v>0</v>
      </c>
      <c r="G43" s="87">
        <v>15000000</v>
      </c>
      <c r="H43" s="87">
        <v>0</v>
      </c>
      <c r="I43" s="87">
        <v>0</v>
      </c>
      <c r="J43" s="87">
        <f>0+9897094</f>
        <v>9897094</v>
      </c>
      <c r="K43" s="87">
        <v>0</v>
      </c>
      <c r="L43" s="230">
        <v>0</v>
      </c>
      <c r="M43" s="86">
        <f t="shared" si="7"/>
        <v>24897094</v>
      </c>
      <c r="N43" s="87">
        <v>0</v>
      </c>
      <c r="O43" s="87">
        <v>0</v>
      </c>
      <c r="P43" s="87">
        <v>15000000</v>
      </c>
      <c r="Q43" s="87">
        <v>0</v>
      </c>
      <c r="R43" s="87">
        <v>0</v>
      </c>
      <c r="S43" s="87">
        <f>0+9897094</f>
        <v>9897094</v>
      </c>
      <c r="T43" s="87">
        <v>0</v>
      </c>
      <c r="U43" s="230">
        <v>0</v>
      </c>
      <c r="V43" s="232" t="s">
        <v>1266</v>
      </c>
    </row>
    <row r="44" spans="1:22" ht="30">
      <c r="A44" s="12"/>
      <c r="B44" s="12" t="s">
        <v>309</v>
      </c>
      <c r="C44" s="88" t="s">
        <v>310</v>
      </c>
      <c r="D44" s="86">
        <f t="shared" si="6"/>
        <v>5000000</v>
      </c>
      <c r="E44" s="87">
        <v>0</v>
      </c>
      <c r="F44" s="87">
        <v>0</v>
      </c>
      <c r="G44" s="87">
        <v>5000000</v>
      </c>
      <c r="H44" s="87">
        <v>0</v>
      </c>
      <c r="I44" s="87">
        <v>0</v>
      </c>
      <c r="J44" s="87">
        <v>0</v>
      </c>
      <c r="K44" s="87">
        <v>0</v>
      </c>
      <c r="L44" s="230">
        <v>0</v>
      </c>
      <c r="M44" s="86">
        <f t="shared" si="7"/>
        <v>5000000</v>
      </c>
      <c r="N44" s="87">
        <v>0</v>
      </c>
      <c r="O44" s="87">
        <v>0</v>
      </c>
      <c r="P44" s="87">
        <v>5000000</v>
      </c>
      <c r="Q44" s="87">
        <v>0</v>
      </c>
      <c r="R44" s="87">
        <v>0</v>
      </c>
      <c r="S44" s="87">
        <v>0</v>
      </c>
      <c r="T44" s="87">
        <v>0</v>
      </c>
      <c r="U44" s="230">
        <v>0</v>
      </c>
      <c r="V44" s="232" t="s">
        <v>1267</v>
      </c>
    </row>
    <row r="45" spans="1:22" ht="18">
      <c r="A45" s="12"/>
      <c r="B45" s="12" t="s">
        <v>311</v>
      </c>
      <c r="C45" s="88" t="s">
        <v>312</v>
      </c>
      <c r="D45" s="86">
        <f t="shared" si="6"/>
        <v>6500000</v>
      </c>
      <c r="E45" s="87">
        <v>0</v>
      </c>
      <c r="F45" s="87">
        <v>0</v>
      </c>
      <c r="G45" s="87">
        <v>6500000</v>
      </c>
      <c r="H45" s="87">
        <v>0</v>
      </c>
      <c r="I45" s="87">
        <v>0</v>
      </c>
      <c r="J45" s="87">
        <v>0</v>
      </c>
      <c r="K45" s="87">
        <v>0</v>
      </c>
      <c r="L45" s="230">
        <v>0</v>
      </c>
      <c r="M45" s="86">
        <f t="shared" si="7"/>
        <v>6500000</v>
      </c>
      <c r="N45" s="87">
        <v>0</v>
      </c>
      <c r="O45" s="87">
        <v>0</v>
      </c>
      <c r="P45" s="87">
        <v>6500000</v>
      </c>
      <c r="Q45" s="87">
        <v>0</v>
      </c>
      <c r="R45" s="87">
        <v>0</v>
      </c>
      <c r="S45" s="87">
        <v>0</v>
      </c>
      <c r="T45" s="87">
        <v>0</v>
      </c>
      <c r="U45" s="230">
        <v>0</v>
      </c>
      <c r="V45" s="232" t="s">
        <v>1268</v>
      </c>
    </row>
    <row r="46" spans="1:22" ht="18">
      <c r="A46" s="12"/>
      <c r="B46" s="12" t="s">
        <v>313</v>
      </c>
      <c r="C46" s="92" t="s">
        <v>314</v>
      </c>
      <c r="D46" s="93">
        <f t="shared" si="6"/>
        <v>19065297</v>
      </c>
      <c r="E46" s="94">
        <v>0</v>
      </c>
      <c r="F46" s="94">
        <v>0</v>
      </c>
      <c r="G46" s="87">
        <f>20000000+4065297-5000000</f>
        <v>19065297</v>
      </c>
      <c r="H46" s="94">
        <v>0</v>
      </c>
      <c r="I46" s="94">
        <v>0</v>
      </c>
      <c r="J46" s="87">
        <v>0</v>
      </c>
      <c r="K46" s="94">
        <v>0</v>
      </c>
      <c r="L46" s="197">
        <v>0</v>
      </c>
      <c r="M46" s="93">
        <f t="shared" si="7"/>
        <v>19065297</v>
      </c>
      <c r="N46" s="94">
        <v>0</v>
      </c>
      <c r="O46" s="94">
        <v>0</v>
      </c>
      <c r="P46" s="87">
        <f>20000000+4065297-5000000</f>
        <v>19065297</v>
      </c>
      <c r="Q46" s="94">
        <v>0</v>
      </c>
      <c r="R46" s="94">
        <v>0</v>
      </c>
      <c r="S46" s="87">
        <v>0</v>
      </c>
      <c r="T46" s="94">
        <v>0</v>
      </c>
      <c r="U46" s="197">
        <v>0</v>
      </c>
      <c r="V46" s="232" t="s">
        <v>1269</v>
      </c>
    </row>
    <row r="47" spans="1:22" ht="30">
      <c r="A47" s="12"/>
      <c r="B47" s="12" t="s">
        <v>906</v>
      </c>
      <c r="C47" s="19" t="s">
        <v>907</v>
      </c>
      <c r="D47" s="93">
        <f t="shared" si="6"/>
        <v>7566800</v>
      </c>
      <c r="E47" s="94">
        <v>0</v>
      </c>
      <c r="F47" s="94">
        <v>0</v>
      </c>
      <c r="G47" s="87">
        <v>6500000</v>
      </c>
      <c r="H47" s="94">
        <v>0</v>
      </c>
      <c r="I47" s="94">
        <v>0</v>
      </c>
      <c r="J47" s="87">
        <f>0+1066800</f>
        <v>1066800</v>
      </c>
      <c r="K47" s="94">
        <v>0</v>
      </c>
      <c r="L47" s="197">
        <v>0</v>
      </c>
      <c r="M47" s="93">
        <f t="shared" si="7"/>
        <v>7566800</v>
      </c>
      <c r="N47" s="94">
        <v>0</v>
      </c>
      <c r="O47" s="94">
        <v>0</v>
      </c>
      <c r="P47" s="87">
        <v>6500000</v>
      </c>
      <c r="Q47" s="94">
        <v>0</v>
      </c>
      <c r="R47" s="94">
        <v>0</v>
      </c>
      <c r="S47" s="87">
        <f>0+1066800</f>
        <v>1066800</v>
      </c>
      <c r="T47" s="94">
        <v>0</v>
      </c>
      <c r="U47" s="197">
        <v>0</v>
      </c>
      <c r="V47" s="232" t="s">
        <v>1270</v>
      </c>
    </row>
    <row r="48" spans="1:22" ht="30">
      <c r="A48" s="12"/>
      <c r="B48" s="12" t="s">
        <v>1145</v>
      </c>
      <c r="C48" s="19" t="s">
        <v>1148</v>
      </c>
      <c r="D48" s="93">
        <f>SUM(E48:L48)</f>
        <v>30600000</v>
      </c>
      <c r="E48" s="94">
        <v>0</v>
      </c>
      <c r="F48" s="94">
        <v>0</v>
      </c>
      <c r="G48" s="87">
        <f>0+30600000</f>
        <v>30600000</v>
      </c>
      <c r="H48" s="94">
        <v>0</v>
      </c>
      <c r="I48" s="94">
        <v>0</v>
      </c>
      <c r="J48" s="87">
        <v>0</v>
      </c>
      <c r="K48" s="94">
        <v>0</v>
      </c>
      <c r="L48" s="197">
        <v>0</v>
      </c>
      <c r="M48" s="93">
        <f>SUM(N48:U48)</f>
        <v>30600000</v>
      </c>
      <c r="N48" s="94">
        <v>0</v>
      </c>
      <c r="O48" s="94">
        <v>0</v>
      </c>
      <c r="P48" s="87">
        <f>0+30600000</f>
        <v>30600000</v>
      </c>
      <c r="Q48" s="94">
        <v>0</v>
      </c>
      <c r="R48" s="94">
        <v>0</v>
      </c>
      <c r="S48" s="87">
        <v>0</v>
      </c>
      <c r="T48" s="94">
        <v>0</v>
      </c>
      <c r="U48" s="197">
        <v>0</v>
      </c>
      <c r="V48" s="232" t="s">
        <v>1271</v>
      </c>
    </row>
    <row r="49" spans="1:22" ht="30">
      <c r="A49" s="12"/>
      <c r="B49" s="12" t="s">
        <v>1147</v>
      </c>
      <c r="C49" s="19" t="s">
        <v>1146</v>
      </c>
      <c r="D49" s="93">
        <f t="shared" si="6"/>
        <v>5000000</v>
      </c>
      <c r="E49" s="94">
        <v>0</v>
      </c>
      <c r="F49" s="94">
        <v>0</v>
      </c>
      <c r="G49" s="87">
        <v>5000000</v>
      </c>
      <c r="H49" s="94">
        <v>0</v>
      </c>
      <c r="I49" s="94">
        <v>0</v>
      </c>
      <c r="J49" s="87">
        <v>0</v>
      </c>
      <c r="K49" s="94">
        <v>0</v>
      </c>
      <c r="L49" s="197">
        <v>0</v>
      </c>
      <c r="M49" s="93">
        <f t="shared" si="7"/>
        <v>5000000</v>
      </c>
      <c r="N49" s="94">
        <v>0</v>
      </c>
      <c r="O49" s="94">
        <v>0</v>
      </c>
      <c r="P49" s="87">
        <v>5000000</v>
      </c>
      <c r="Q49" s="94">
        <v>0</v>
      </c>
      <c r="R49" s="94">
        <v>0</v>
      </c>
      <c r="S49" s="87">
        <v>0</v>
      </c>
      <c r="T49" s="94">
        <v>0</v>
      </c>
      <c r="U49" s="197">
        <v>0</v>
      </c>
      <c r="V49" s="292">
        <v>52316</v>
      </c>
    </row>
    <row r="50" spans="1:22" ht="18">
      <c r="A50" s="12" t="s">
        <v>54</v>
      </c>
      <c r="B50" s="12"/>
      <c r="C50" s="82" t="s">
        <v>44</v>
      </c>
      <c r="D50" s="83">
        <f>SUM(E50:L50)</f>
        <v>0</v>
      </c>
      <c r="E50" s="84">
        <f aca="true" t="shared" si="8" ref="E50:U50">SUM(E51)</f>
        <v>0</v>
      </c>
      <c r="F50" s="84">
        <f t="shared" si="8"/>
        <v>0</v>
      </c>
      <c r="G50" s="84">
        <f t="shared" si="8"/>
        <v>0</v>
      </c>
      <c r="H50" s="84">
        <f t="shared" si="8"/>
        <v>0</v>
      </c>
      <c r="I50" s="84">
        <f t="shared" si="8"/>
        <v>0</v>
      </c>
      <c r="J50" s="84">
        <f t="shared" si="8"/>
        <v>0</v>
      </c>
      <c r="K50" s="84">
        <f t="shared" si="8"/>
        <v>0</v>
      </c>
      <c r="L50" s="229">
        <f t="shared" si="8"/>
        <v>0</v>
      </c>
      <c r="M50" s="83">
        <f>SUM(N50:U50)</f>
        <v>0</v>
      </c>
      <c r="N50" s="84">
        <f t="shared" si="8"/>
        <v>0</v>
      </c>
      <c r="O50" s="84">
        <f t="shared" si="8"/>
        <v>0</v>
      </c>
      <c r="P50" s="84">
        <f t="shared" si="8"/>
        <v>0</v>
      </c>
      <c r="Q50" s="84">
        <f t="shared" si="8"/>
        <v>0</v>
      </c>
      <c r="R50" s="84">
        <f t="shared" si="8"/>
        <v>0</v>
      </c>
      <c r="S50" s="84">
        <f t="shared" si="8"/>
        <v>0</v>
      </c>
      <c r="T50" s="84">
        <f t="shared" si="8"/>
        <v>0</v>
      </c>
      <c r="U50" s="229">
        <f t="shared" si="8"/>
        <v>0</v>
      </c>
      <c r="V50" s="82"/>
    </row>
    <row r="51" spans="1:22" ht="18">
      <c r="A51" s="12"/>
      <c r="B51" s="12"/>
      <c r="C51" s="19"/>
      <c r="D51" s="86">
        <f>SUM(E51:L51)</f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231">
        <v>0</v>
      </c>
      <c r="M51" s="86">
        <f>SUM(N51:U51)</f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231">
        <v>0</v>
      </c>
      <c r="V51" s="233"/>
    </row>
    <row r="52" spans="1:22" ht="30" customHeight="1">
      <c r="A52" s="402" t="s">
        <v>315</v>
      </c>
      <c r="B52" s="402"/>
      <c r="C52" s="402"/>
      <c r="D52" s="83">
        <f>SUM(E52:L52)</f>
        <v>3237419012</v>
      </c>
      <c r="E52" s="84">
        <f aca="true" t="shared" si="9" ref="E52:L52">E10+E33+E50</f>
        <v>0</v>
      </c>
      <c r="F52" s="84">
        <f t="shared" si="9"/>
        <v>0</v>
      </c>
      <c r="G52" s="84">
        <f t="shared" si="9"/>
        <v>3134624614</v>
      </c>
      <c r="H52" s="84">
        <f t="shared" si="9"/>
        <v>0</v>
      </c>
      <c r="I52" s="84">
        <f t="shared" si="9"/>
        <v>91309804</v>
      </c>
      <c r="J52" s="84">
        <f t="shared" si="9"/>
        <v>11484594</v>
      </c>
      <c r="K52" s="84">
        <f t="shared" si="9"/>
        <v>0</v>
      </c>
      <c r="L52" s="229">
        <f t="shared" si="9"/>
        <v>0</v>
      </c>
      <c r="M52" s="83">
        <f>SUM(N52:U52)</f>
        <v>3237419012</v>
      </c>
      <c r="N52" s="84">
        <f aca="true" t="shared" si="10" ref="N52:U52">N10+N33+N50</f>
        <v>0</v>
      </c>
      <c r="O52" s="84">
        <f t="shared" si="10"/>
        <v>0</v>
      </c>
      <c r="P52" s="84">
        <f t="shared" si="10"/>
        <v>3134624614</v>
      </c>
      <c r="Q52" s="84">
        <f t="shared" si="10"/>
        <v>0</v>
      </c>
      <c r="R52" s="84">
        <f t="shared" si="10"/>
        <v>91309804</v>
      </c>
      <c r="S52" s="84">
        <f t="shared" si="10"/>
        <v>11484594</v>
      </c>
      <c r="T52" s="84">
        <f t="shared" si="10"/>
        <v>0</v>
      </c>
      <c r="U52" s="229">
        <f t="shared" si="10"/>
        <v>0</v>
      </c>
      <c r="V52" s="233"/>
    </row>
    <row r="53" s="152" customFormat="1" ht="14.25">
      <c r="V53" s="227"/>
    </row>
    <row r="54" s="152" customFormat="1" ht="14.25">
      <c r="V54" s="227"/>
    </row>
    <row r="55" s="152" customFormat="1" ht="14.25">
      <c r="V55" s="227"/>
    </row>
    <row r="56" s="152" customFormat="1" ht="14.25">
      <c r="V56" s="227"/>
    </row>
    <row r="57" s="152" customFormat="1" ht="14.25">
      <c r="V57" s="227"/>
    </row>
    <row r="58" s="152" customFormat="1" ht="14.25">
      <c r="V58" s="227"/>
    </row>
    <row r="59" s="152" customFormat="1" ht="14.25">
      <c r="V59" s="227"/>
    </row>
    <row r="60" s="152" customFormat="1" ht="14.25">
      <c r="V60" s="227"/>
    </row>
  </sheetData>
  <sheetProtection selectLockedCells="1" selectUnlockedCells="1"/>
  <mergeCells count="17">
    <mergeCell ref="V7:V10"/>
    <mergeCell ref="A52:C52"/>
    <mergeCell ref="C7:C9"/>
    <mergeCell ref="D7:D9"/>
    <mergeCell ref="E7:L7"/>
    <mergeCell ref="E8:I8"/>
    <mergeCell ref="M7:M9"/>
    <mergeCell ref="A2:V2"/>
    <mergeCell ref="A1:V1"/>
    <mergeCell ref="A3:V3"/>
    <mergeCell ref="A4:V4"/>
    <mergeCell ref="J8:L8"/>
    <mergeCell ref="A7:A9"/>
    <mergeCell ref="B7:B9"/>
    <mergeCell ref="N7:U7"/>
    <mergeCell ref="N8:R8"/>
    <mergeCell ref="S8:U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8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8"/>
  <sheetViews>
    <sheetView view="pageBreakPreview" zoomScale="74" zoomScaleNormal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1" sqref="A1:V1"/>
    </sheetView>
  </sheetViews>
  <sheetFormatPr defaultColWidth="9.140625" defaultRowHeight="12.75"/>
  <cols>
    <col min="1" max="1" width="5.140625" style="79" customWidth="1"/>
    <col min="2" max="2" width="9.8515625" style="79" customWidth="1"/>
    <col min="3" max="3" width="72.8515625" style="79" customWidth="1"/>
    <col min="4" max="4" width="23.57421875" style="79" customWidth="1"/>
    <col min="5" max="6" width="14.57421875" style="79" customWidth="1"/>
    <col min="7" max="7" width="21.7109375" style="79" customWidth="1"/>
    <col min="8" max="8" width="14.57421875" style="79" customWidth="1"/>
    <col min="9" max="9" width="21.28125" style="79" customWidth="1"/>
    <col min="10" max="10" width="20.28125" style="79" customWidth="1"/>
    <col min="11" max="11" width="17.28125" style="79" customWidth="1"/>
    <col min="12" max="12" width="14.57421875" style="79" customWidth="1"/>
    <col min="13" max="13" width="19.140625" style="79" customWidth="1"/>
    <col min="14" max="14" width="15.28125" style="79" customWidth="1"/>
    <col min="15" max="15" width="15.57421875" style="79" customWidth="1"/>
    <col min="16" max="16" width="22.421875" style="79" customWidth="1"/>
    <col min="17" max="17" width="12.57421875" style="79" customWidth="1"/>
    <col min="18" max="18" width="22.421875" style="79" customWidth="1"/>
    <col min="19" max="20" width="17.28125" style="79" customWidth="1"/>
    <col min="21" max="21" width="15.8515625" style="79" customWidth="1"/>
    <col min="22" max="22" width="19.8515625" style="79" customWidth="1"/>
    <col min="23" max="16384" width="9.140625" style="79" customWidth="1"/>
  </cols>
  <sheetData>
    <row r="1" spans="1:22" ht="15.75" customHeight="1">
      <c r="A1" s="347" t="s">
        <v>1556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15.75" customHeight="1">
      <c r="A2" s="358" t="s">
        <v>1530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22" ht="18" customHeight="1">
      <c r="A3" s="396" t="s">
        <v>316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</row>
    <row r="4" spans="1:22" ht="15" customHeight="1">
      <c r="A4" s="397" t="s">
        <v>317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</row>
    <row r="5" spans="1:22" ht="14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40"/>
      <c r="V5" s="3" t="s">
        <v>1</v>
      </c>
    </row>
    <row r="6" spans="1:22" ht="12.75">
      <c r="A6" s="168" t="s">
        <v>2</v>
      </c>
      <c r="B6" s="168" t="s">
        <v>3</v>
      </c>
      <c r="C6" s="168" t="s">
        <v>4</v>
      </c>
      <c r="D6" s="168" t="s">
        <v>5</v>
      </c>
      <c r="E6" s="168" t="s">
        <v>6</v>
      </c>
      <c r="F6" s="168" t="s">
        <v>7</v>
      </c>
      <c r="G6" s="168" t="s">
        <v>8</v>
      </c>
      <c r="H6" s="168" t="s">
        <v>9</v>
      </c>
      <c r="I6" s="168" t="s">
        <v>10</v>
      </c>
      <c r="J6" s="168" t="s">
        <v>11</v>
      </c>
      <c r="K6" s="168" t="s">
        <v>12</v>
      </c>
      <c r="L6" s="204" t="s">
        <v>13</v>
      </c>
      <c r="M6" s="168" t="s">
        <v>14</v>
      </c>
      <c r="N6" s="168" t="s">
        <v>15</v>
      </c>
      <c r="O6" s="168" t="s">
        <v>16</v>
      </c>
      <c r="P6" s="168" t="s">
        <v>17</v>
      </c>
      <c r="Q6" s="168" t="s">
        <v>18</v>
      </c>
      <c r="R6" s="168" t="s">
        <v>19</v>
      </c>
      <c r="S6" s="168" t="s">
        <v>20</v>
      </c>
      <c r="T6" s="168" t="s">
        <v>21</v>
      </c>
      <c r="U6" s="204" t="s">
        <v>22</v>
      </c>
      <c r="V6" s="204" t="s">
        <v>181</v>
      </c>
    </row>
    <row r="7" spans="1:22" ht="12.75" customHeight="1">
      <c r="A7" s="406" t="s">
        <v>24</v>
      </c>
      <c r="B7" s="406" t="s">
        <v>185</v>
      </c>
      <c r="C7" s="345" t="s">
        <v>25</v>
      </c>
      <c r="D7" s="345" t="s">
        <v>1099</v>
      </c>
      <c r="E7" s="345" t="s">
        <v>26</v>
      </c>
      <c r="F7" s="345"/>
      <c r="G7" s="345"/>
      <c r="H7" s="345"/>
      <c r="I7" s="345"/>
      <c r="J7" s="345"/>
      <c r="K7" s="345"/>
      <c r="L7" s="345"/>
      <c r="M7" s="345" t="s">
        <v>1526</v>
      </c>
      <c r="N7" s="345" t="s">
        <v>1525</v>
      </c>
      <c r="O7" s="345"/>
      <c r="P7" s="345"/>
      <c r="Q7" s="345"/>
      <c r="R7" s="345"/>
      <c r="S7" s="345"/>
      <c r="T7" s="345"/>
      <c r="U7" s="345"/>
      <c r="V7" s="405" t="s">
        <v>1234</v>
      </c>
    </row>
    <row r="8" spans="1:22" ht="12.75" customHeight="1">
      <c r="A8" s="406"/>
      <c r="B8" s="406"/>
      <c r="C8" s="345"/>
      <c r="D8" s="345"/>
      <c r="E8" s="346" t="s">
        <v>27</v>
      </c>
      <c r="F8" s="346"/>
      <c r="G8" s="346"/>
      <c r="H8" s="346"/>
      <c r="I8" s="346"/>
      <c r="J8" s="346" t="s">
        <v>28</v>
      </c>
      <c r="K8" s="346"/>
      <c r="L8" s="346"/>
      <c r="M8" s="345"/>
      <c r="N8" s="346" t="s">
        <v>27</v>
      </c>
      <c r="O8" s="346"/>
      <c r="P8" s="346"/>
      <c r="Q8" s="346"/>
      <c r="R8" s="346"/>
      <c r="S8" s="346" t="s">
        <v>28</v>
      </c>
      <c r="T8" s="346"/>
      <c r="U8" s="346"/>
      <c r="V8" s="405"/>
    </row>
    <row r="9" spans="1:22" ht="98.25" customHeight="1">
      <c r="A9" s="406"/>
      <c r="B9" s="406"/>
      <c r="C9" s="345"/>
      <c r="D9" s="345"/>
      <c r="E9" s="169" t="s">
        <v>29</v>
      </c>
      <c r="F9" s="169" t="s">
        <v>30</v>
      </c>
      <c r="G9" s="169" t="s">
        <v>31</v>
      </c>
      <c r="H9" s="169" t="s">
        <v>32</v>
      </c>
      <c r="I9" s="169" t="s">
        <v>33</v>
      </c>
      <c r="J9" s="169" t="s">
        <v>34</v>
      </c>
      <c r="K9" s="169" t="s">
        <v>35</v>
      </c>
      <c r="L9" s="169" t="s">
        <v>36</v>
      </c>
      <c r="M9" s="345"/>
      <c r="N9" s="169" t="s">
        <v>29</v>
      </c>
      <c r="O9" s="169" t="s">
        <v>30</v>
      </c>
      <c r="P9" s="169" t="s">
        <v>31</v>
      </c>
      <c r="Q9" s="169" t="s">
        <v>32</v>
      </c>
      <c r="R9" s="169" t="s">
        <v>33</v>
      </c>
      <c r="S9" s="169" t="s">
        <v>34</v>
      </c>
      <c r="T9" s="169" t="s">
        <v>35</v>
      </c>
      <c r="U9" s="169" t="s">
        <v>36</v>
      </c>
      <c r="V9" s="405"/>
    </row>
    <row r="10" spans="1:22" ht="18">
      <c r="A10" s="161" t="s">
        <v>57</v>
      </c>
      <c r="B10" s="161"/>
      <c r="C10" s="162" t="s">
        <v>40</v>
      </c>
      <c r="D10" s="163">
        <f aca="true" t="shared" si="0" ref="D10:D45">SUM(E10:L10)</f>
        <v>1202784984</v>
      </c>
      <c r="E10" s="164">
        <f aca="true" t="shared" si="1" ref="E10:L10">SUM(E11:E24)</f>
        <v>0</v>
      </c>
      <c r="F10" s="164">
        <f t="shared" si="1"/>
        <v>0</v>
      </c>
      <c r="G10" s="164">
        <f t="shared" si="1"/>
        <v>1202784984</v>
      </c>
      <c r="H10" s="164">
        <f t="shared" si="1"/>
        <v>0</v>
      </c>
      <c r="I10" s="164">
        <f t="shared" si="1"/>
        <v>0</v>
      </c>
      <c r="J10" s="164">
        <f t="shared" si="1"/>
        <v>0</v>
      </c>
      <c r="K10" s="164">
        <f t="shared" si="1"/>
        <v>0</v>
      </c>
      <c r="L10" s="164">
        <f t="shared" si="1"/>
        <v>0</v>
      </c>
      <c r="M10" s="163">
        <f aca="true" t="shared" si="2" ref="M10:M41">SUM(N10:U10)</f>
        <v>1202784984</v>
      </c>
      <c r="N10" s="164">
        <f aca="true" t="shared" si="3" ref="N10:U10">SUM(N11:N24)</f>
        <v>0</v>
      </c>
      <c r="O10" s="164">
        <f t="shared" si="3"/>
        <v>0</v>
      </c>
      <c r="P10" s="164">
        <f t="shared" si="3"/>
        <v>1202784984</v>
      </c>
      <c r="Q10" s="164">
        <f t="shared" si="3"/>
        <v>0</v>
      </c>
      <c r="R10" s="164">
        <f t="shared" si="3"/>
        <v>0</v>
      </c>
      <c r="S10" s="164">
        <f t="shared" si="3"/>
        <v>0</v>
      </c>
      <c r="T10" s="164">
        <f t="shared" si="3"/>
        <v>0</v>
      </c>
      <c r="U10" s="164">
        <f t="shared" si="3"/>
        <v>0</v>
      </c>
      <c r="V10" s="405"/>
    </row>
    <row r="11" spans="1:22" s="159" customFormat="1" ht="18">
      <c r="A11" s="170"/>
      <c r="B11" s="170" t="s">
        <v>318</v>
      </c>
      <c r="C11" s="171" t="s">
        <v>319</v>
      </c>
      <c r="D11" s="177">
        <f aca="true" t="shared" si="4" ref="D11:D24">SUM(E11:L11)</f>
        <v>500781366</v>
      </c>
      <c r="E11" s="178">
        <v>0</v>
      </c>
      <c r="F11" s="178">
        <v>0</v>
      </c>
      <c r="G11" s="178">
        <f>550000000+11781366-61000000</f>
        <v>500781366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7">
        <f t="shared" si="2"/>
        <v>500781366</v>
      </c>
      <c r="N11" s="178">
        <v>0</v>
      </c>
      <c r="O11" s="178">
        <v>0</v>
      </c>
      <c r="P11" s="178">
        <f>550000000+11781366-61000000</f>
        <v>500781366</v>
      </c>
      <c r="Q11" s="178">
        <v>0</v>
      </c>
      <c r="R11" s="178">
        <v>0</v>
      </c>
      <c r="S11" s="178">
        <v>0</v>
      </c>
      <c r="T11" s="178">
        <v>0</v>
      </c>
      <c r="U11" s="178">
        <v>0</v>
      </c>
      <c r="V11" s="232" t="s">
        <v>1272</v>
      </c>
    </row>
    <row r="12" spans="1:22" s="159" customFormat="1" ht="18">
      <c r="A12" s="170"/>
      <c r="B12" s="170" t="s">
        <v>320</v>
      </c>
      <c r="C12" s="171" t="s">
        <v>321</v>
      </c>
      <c r="D12" s="177">
        <f t="shared" si="4"/>
        <v>10000000</v>
      </c>
      <c r="E12" s="178">
        <v>0</v>
      </c>
      <c r="F12" s="178">
        <v>0</v>
      </c>
      <c r="G12" s="178">
        <v>10000000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7">
        <f t="shared" si="2"/>
        <v>10000000</v>
      </c>
      <c r="N12" s="178">
        <v>0</v>
      </c>
      <c r="O12" s="178">
        <v>0</v>
      </c>
      <c r="P12" s="178">
        <v>10000000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232" t="s">
        <v>1273</v>
      </c>
    </row>
    <row r="13" spans="1:22" s="159" customFormat="1" ht="18">
      <c r="A13" s="170"/>
      <c r="B13" s="170" t="s">
        <v>322</v>
      </c>
      <c r="C13" s="171" t="s">
        <v>323</v>
      </c>
      <c r="D13" s="177">
        <f t="shared" si="4"/>
        <v>43940149</v>
      </c>
      <c r="E13" s="178">
        <v>0</v>
      </c>
      <c r="F13" s="178">
        <v>0</v>
      </c>
      <c r="G13" s="178">
        <f>40000000+3940149</f>
        <v>43940149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7">
        <f t="shared" si="2"/>
        <v>43940149</v>
      </c>
      <c r="N13" s="178">
        <v>0</v>
      </c>
      <c r="O13" s="178">
        <v>0</v>
      </c>
      <c r="P13" s="178">
        <f>40000000+3940149</f>
        <v>43940149</v>
      </c>
      <c r="Q13" s="178">
        <v>0</v>
      </c>
      <c r="R13" s="178">
        <v>0</v>
      </c>
      <c r="S13" s="178">
        <v>0</v>
      </c>
      <c r="T13" s="178">
        <v>0</v>
      </c>
      <c r="U13" s="178">
        <v>0</v>
      </c>
      <c r="V13" s="232" t="s">
        <v>1274</v>
      </c>
    </row>
    <row r="14" spans="1:22" s="159" customFormat="1" ht="18">
      <c r="A14" s="170"/>
      <c r="B14" s="170" t="s">
        <v>324</v>
      </c>
      <c r="C14" s="171" t="s">
        <v>325</v>
      </c>
      <c r="D14" s="177">
        <f t="shared" si="4"/>
        <v>12000000</v>
      </c>
      <c r="E14" s="178">
        <v>0</v>
      </c>
      <c r="F14" s="178">
        <v>0</v>
      </c>
      <c r="G14" s="178">
        <v>12000000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77">
        <f t="shared" si="2"/>
        <v>12000000</v>
      </c>
      <c r="N14" s="178">
        <v>0</v>
      </c>
      <c r="O14" s="178">
        <v>0</v>
      </c>
      <c r="P14" s="178">
        <v>12000000</v>
      </c>
      <c r="Q14" s="178">
        <v>0</v>
      </c>
      <c r="R14" s="178">
        <v>0</v>
      </c>
      <c r="S14" s="178">
        <v>0</v>
      </c>
      <c r="T14" s="178">
        <v>0</v>
      </c>
      <c r="U14" s="178">
        <v>0</v>
      </c>
      <c r="V14" s="232" t="s">
        <v>1275</v>
      </c>
    </row>
    <row r="15" spans="1:22" s="159" customFormat="1" ht="18">
      <c r="A15" s="170"/>
      <c r="B15" s="170" t="s">
        <v>326</v>
      </c>
      <c r="C15" s="172" t="s">
        <v>327</v>
      </c>
      <c r="D15" s="177">
        <f t="shared" si="4"/>
        <v>21780800</v>
      </c>
      <c r="E15" s="178">
        <v>0</v>
      </c>
      <c r="F15" s="178">
        <v>0</v>
      </c>
      <c r="G15" s="178">
        <f>30000000+6780800-15000000</f>
        <v>21780800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7">
        <f t="shared" si="2"/>
        <v>21780800</v>
      </c>
      <c r="N15" s="178">
        <v>0</v>
      </c>
      <c r="O15" s="178">
        <v>0</v>
      </c>
      <c r="P15" s="178">
        <f>30000000+6780800-15000000</f>
        <v>21780800</v>
      </c>
      <c r="Q15" s="178">
        <v>0</v>
      </c>
      <c r="R15" s="178">
        <v>0</v>
      </c>
      <c r="S15" s="178">
        <v>0</v>
      </c>
      <c r="T15" s="178">
        <v>0</v>
      </c>
      <c r="U15" s="178">
        <v>0</v>
      </c>
      <c r="V15" s="232" t="s">
        <v>1276</v>
      </c>
    </row>
    <row r="16" spans="1:22" s="159" customFormat="1" ht="45" customHeight="1">
      <c r="A16" s="170"/>
      <c r="B16" s="170" t="s">
        <v>328</v>
      </c>
      <c r="C16" s="173" t="s">
        <v>914</v>
      </c>
      <c r="D16" s="177">
        <f t="shared" si="4"/>
        <v>18000000</v>
      </c>
      <c r="E16" s="178">
        <v>0</v>
      </c>
      <c r="F16" s="178">
        <v>0</v>
      </c>
      <c r="G16" s="178">
        <f>3000000+15000000</f>
        <v>18000000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7">
        <f t="shared" si="2"/>
        <v>18000000</v>
      </c>
      <c r="N16" s="178">
        <v>0</v>
      </c>
      <c r="O16" s="178">
        <v>0</v>
      </c>
      <c r="P16" s="178">
        <f>3000000+15000000</f>
        <v>18000000</v>
      </c>
      <c r="Q16" s="178">
        <v>0</v>
      </c>
      <c r="R16" s="178">
        <v>0</v>
      </c>
      <c r="S16" s="178">
        <v>0</v>
      </c>
      <c r="T16" s="178">
        <v>0</v>
      </c>
      <c r="U16" s="178">
        <v>0</v>
      </c>
      <c r="V16" s="232" t="s">
        <v>1277</v>
      </c>
    </row>
    <row r="17" spans="1:22" s="159" customFormat="1" ht="28.5">
      <c r="A17" s="170"/>
      <c r="B17" s="170" t="s">
        <v>910</v>
      </c>
      <c r="C17" s="173" t="s">
        <v>827</v>
      </c>
      <c r="D17" s="177">
        <f t="shared" si="4"/>
        <v>286288989</v>
      </c>
      <c r="E17" s="178">
        <v>0</v>
      </c>
      <c r="F17" s="178">
        <v>0</v>
      </c>
      <c r="G17" s="178">
        <f>273000000+12071084+1217905</f>
        <v>286288989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7">
        <f t="shared" si="2"/>
        <v>286288989</v>
      </c>
      <c r="N17" s="178">
        <v>0</v>
      </c>
      <c r="O17" s="178">
        <v>0</v>
      </c>
      <c r="P17" s="178">
        <f>273000000+12071084+1217905</f>
        <v>286288989</v>
      </c>
      <c r="Q17" s="178">
        <v>0</v>
      </c>
      <c r="R17" s="178">
        <v>0</v>
      </c>
      <c r="S17" s="178">
        <v>0</v>
      </c>
      <c r="T17" s="178">
        <v>0</v>
      </c>
      <c r="U17" s="178">
        <v>0</v>
      </c>
      <c r="V17" s="232" t="s">
        <v>1278</v>
      </c>
    </row>
    <row r="18" spans="1:22" s="159" customFormat="1" ht="18">
      <c r="A18" s="170"/>
      <c r="B18" s="170" t="s">
        <v>330</v>
      </c>
      <c r="C18" s="173" t="s">
        <v>895</v>
      </c>
      <c r="D18" s="177">
        <f t="shared" si="4"/>
        <v>35601995</v>
      </c>
      <c r="E18" s="178">
        <v>0</v>
      </c>
      <c r="F18" s="178">
        <v>0</v>
      </c>
      <c r="G18" s="178">
        <f>30000000+6819900-1217905</f>
        <v>35601995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7">
        <f t="shared" si="2"/>
        <v>35601995</v>
      </c>
      <c r="N18" s="178">
        <v>0</v>
      </c>
      <c r="O18" s="178">
        <v>0</v>
      </c>
      <c r="P18" s="178">
        <f>30000000+6819900-1217905</f>
        <v>35601995</v>
      </c>
      <c r="Q18" s="178">
        <v>0</v>
      </c>
      <c r="R18" s="178">
        <v>0</v>
      </c>
      <c r="S18" s="178">
        <v>0</v>
      </c>
      <c r="T18" s="178">
        <v>0</v>
      </c>
      <c r="U18" s="178">
        <v>0</v>
      </c>
      <c r="V18" s="232" t="s">
        <v>1279</v>
      </c>
    </row>
    <row r="19" spans="1:22" s="159" customFormat="1" ht="18">
      <c r="A19" s="170"/>
      <c r="B19" s="170" t="s">
        <v>332</v>
      </c>
      <c r="C19" s="171" t="s">
        <v>329</v>
      </c>
      <c r="D19" s="177">
        <f t="shared" si="4"/>
        <v>12000000</v>
      </c>
      <c r="E19" s="178">
        <v>0</v>
      </c>
      <c r="F19" s="178">
        <v>0</v>
      </c>
      <c r="G19" s="178">
        <v>12000000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7">
        <f t="shared" si="2"/>
        <v>12000000</v>
      </c>
      <c r="N19" s="178">
        <v>0</v>
      </c>
      <c r="O19" s="178">
        <v>0</v>
      </c>
      <c r="P19" s="178">
        <v>12000000</v>
      </c>
      <c r="Q19" s="178">
        <v>0</v>
      </c>
      <c r="R19" s="178">
        <v>0</v>
      </c>
      <c r="S19" s="178">
        <v>0</v>
      </c>
      <c r="T19" s="178">
        <v>0</v>
      </c>
      <c r="U19" s="178">
        <v>0</v>
      </c>
      <c r="V19" s="232" t="s">
        <v>1280</v>
      </c>
    </row>
    <row r="20" spans="1:22" s="159" customFormat="1" ht="18">
      <c r="A20" s="170"/>
      <c r="B20" s="170" t="s">
        <v>334</v>
      </c>
      <c r="C20" s="171" t="s">
        <v>331</v>
      </c>
      <c r="D20" s="177">
        <f t="shared" si="4"/>
        <v>8000000</v>
      </c>
      <c r="E20" s="178">
        <v>0</v>
      </c>
      <c r="F20" s="178">
        <v>0</v>
      </c>
      <c r="G20" s="178">
        <f>4000000+4000000</f>
        <v>8000000</v>
      </c>
      <c r="H20" s="178">
        <v>0</v>
      </c>
      <c r="I20" s="178">
        <v>0</v>
      </c>
      <c r="J20" s="178">
        <v>0</v>
      </c>
      <c r="K20" s="178">
        <v>0</v>
      </c>
      <c r="L20" s="178">
        <v>0</v>
      </c>
      <c r="M20" s="177">
        <f t="shared" si="2"/>
        <v>8000000</v>
      </c>
      <c r="N20" s="178">
        <v>0</v>
      </c>
      <c r="O20" s="178">
        <v>0</v>
      </c>
      <c r="P20" s="178">
        <f>4000000+4000000</f>
        <v>8000000</v>
      </c>
      <c r="Q20" s="178">
        <v>0</v>
      </c>
      <c r="R20" s="178">
        <v>0</v>
      </c>
      <c r="S20" s="178">
        <v>0</v>
      </c>
      <c r="T20" s="178">
        <v>0</v>
      </c>
      <c r="U20" s="178">
        <v>0</v>
      </c>
      <c r="V20" s="232" t="s">
        <v>1281</v>
      </c>
    </row>
    <row r="21" spans="1:22" s="159" customFormat="1" ht="18">
      <c r="A21" s="170"/>
      <c r="B21" s="170" t="s">
        <v>815</v>
      </c>
      <c r="C21" s="171" t="s">
        <v>333</v>
      </c>
      <c r="D21" s="177">
        <f t="shared" si="4"/>
        <v>51684572</v>
      </c>
      <c r="E21" s="178">
        <v>0</v>
      </c>
      <c r="F21" s="178">
        <v>0</v>
      </c>
      <c r="G21" s="178">
        <f>50000000+1684572</f>
        <v>51684572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7">
        <f t="shared" si="2"/>
        <v>51684572</v>
      </c>
      <c r="N21" s="178">
        <v>0</v>
      </c>
      <c r="O21" s="178">
        <v>0</v>
      </c>
      <c r="P21" s="178">
        <f>50000000+1684572</f>
        <v>51684572</v>
      </c>
      <c r="Q21" s="178">
        <v>0</v>
      </c>
      <c r="R21" s="178">
        <v>0</v>
      </c>
      <c r="S21" s="178">
        <v>0</v>
      </c>
      <c r="T21" s="178">
        <v>0</v>
      </c>
      <c r="U21" s="178">
        <v>0</v>
      </c>
      <c r="V21" s="232" t="s">
        <v>1282</v>
      </c>
    </row>
    <row r="22" spans="1:22" s="159" customFormat="1" ht="18">
      <c r="A22" s="170"/>
      <c r="B22" s="170" t="s">
        <v>911</v>
      </c>
      <c r="C22" s="171" t="s">
        <v>335</v>
      </c>
      <c r="D22" s="177">
        <f t="shared" si="4"/>
        <v>90149821</v>
      </c>
      <c r="E22" s="178">
        <v>0</v>
      </c>
      <c r="F22" s="178">
        <v>0</v>
      </c>
      <c r="G22" s="178">
        <f>120000000+8000000+6149821-44000000</f>
        <v>90149821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7">
        <f t="shared" si="2"/>
        <v>90149821</v>
      </c>
      <c r="N22" s="178">
        <v>0</v>
      </c>
      <c r="O22" s="178">
        <v>0</v>
      </c>
      <c r="P22" s="178">
        <f>120000000+8000000+6149821-44000000</f>
        <v>90149821</v>
      </c>
      <c r="Q22" s="178">
        <v>0</v>
      </c>
      <c r="R22" s="178">
        <v>0</v>
      </c>
      <c r="S22" s="178">
        <v>0</v>
      </c>
      <c r="T22" s="178">
        <v>0</v>
      </c>
      <c r="U22" s="178">
        <v>0</v>
      </c>
      <c r="V22" s="232" t="s">
        <v>1283</v>
      </c>
    </row>
    <row r="23" spans="1:22" s="159" customFormat="1" ht="18">
      <c r="A23" s="170"/>
      <c r="B23" s="170" t="s">
        <v>912</v>
      </c>
      <c r="C23" s="173" t="s">
        <v>269</v>
      </c>
      <c r="D23" s="177">
        <f t="shared" si="4"/>
        <v>87368625</v>
      </c>
      <c r="E23" s="178">
        <v>0</v>
      </c>
      <c r="F23" s="178">
        <v>0</v>
      </c>
      <c r="G23" s="178">
        <f>80000000+27368625-20000000</f>
        <v>87368625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7">
        <f t="shared" si="2"/>
        <v>87368625</v>
      </c>
      <c r="N23" s="178">
        <v>0</v>
      </c>
      <c r="O23" s="178">
        <v>0</v>
      </c>
      <c r="P23" s="178">
        <f>80000000+27368625-20000000</f>
        <v>87368625</v>
      </c>
      <c r="Q23" s="178">
        <v>0</v>
      </c>
      <c r="R23" s="178">
        <v>0</v>
      </c>
      <c r="S23" s="178">
        <v>0</v>
      </c>
      <c r="T23" s="178">
        <v>0</v>
      </c>
      <c r="U23" s="178">
        <v>0</v>
      </c>
      <c r="V23" s="232" t="s">
        <v>1284</v>
      </c>
    </row>
    <row r="24" spans="1:22" s="159" customFormat="1" ht="18">
      <c r="A24" s="170"/>
      <c r="B24" s="170" t="s">
        <v>913</v>
      </c>
      <c r="C24" s="173" t="s">
        <v>273</v>
      </c>
      <c r="D24" s="177">
        <f t="shared" si="4"/>
        <v>25188667</v>
      </c>
      <c r="E24" s="178">
        <v>0</v>
      </c>
      <c r="F24" s="178">
        <v>0</v>
      </c>
      <c r="G24" s="178">
        <f>18000000+7188667</f>
        <v>25188667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7">
        <f t="shared" si="2"/>
        <v>25188667</v>
      </c>
      <c r="N24" s="178">
        <v>0</v>
      </c>
      <c r="O24" s="178">
        <v>0</v>
      </c>
      <c r="P24" s="178">
        <f>18000000+7188667</f>
        <v>25188667</v>
      </c>
      <c r="Q24" s="178">
        <v>0</v>
      </c>
      <c r="R24" s="178">
        <v>0</v>
      </c>
      <c r="S24" s="178">
        <v>0</v>
      </c>
      <c r="T24" s="178">
        <v>0</v>
      </c>
      <c r="U24" s="178">
        <v>0</v>
      </c>
      <c r="V24" s="232" t="s">
        <v>1285</v>
      </c>
    </row>
    <row r="25" spans="1:22" ht="18">
      <c r="A25" s="161" t="s">
        <v>58</v>
      </c>
      <c r="B25" s="161"/>
      <c r="C25" s="162" t="s">
        <v>42</v>
      </c>
      <c r="D25" s="163">
        <f t="shared" si="0"/>
        <v>407436129</v>
      </c>
      <c r="E25" s="164">
        <f aca="true" t="shared" si="5" ref="E25:L25">SUM(E26:E55)</f>
        <v>0</v>
      </c>
      <c r="F25" s="164">
        <f t="shared" si="5"/>
        <v>0</v>
      </c>
      <c r="G25" s="164">
        <f t="shared" si="5"/>
        <v>191306984</v>
      </c>
      <c r="H25" s="164">
        <f t="shared" si="5"/>
        <v>0</v>
      </c>
      <c r="I25" s="164">
        <f t="shared" si="5"/>
        <v>99450000</v>
      </c>
      <c r="J25" s="164">
        <f t="shared" si="5"/>
        <v>115155145</v>
      </c>
      <c r="K25" s="164">
        <f t="shared" si="5"/>
        <v>1524000</v>
      </c>
      <c r="L25" s="164">
        <f t="shared" si="5"/>
        <v>0</v>
      </c>
      <c r="M25" s="163">
        <f t="shared" si="2"/>
        <v>407436129</v>
      </c>
      <c r="N25" s="164">
        <f aca="true" t="shared" si="6" ref="N25:U25">SUM(N26:N55)</f>
        <v>0</v>
      </c>
      <c r="O25" s="164">
        <f t="shared" si="6"/>
        <v>0</v>
      </c>
      <c r="P25" s="164">
        <f t="shared" si="6"/>
        <v>191306984</v>
      </c>
      <c r="Q25" s="164">
        <f t="shared" si="6"/>
        <v>0</v>
      </c>
      <c r="R25" s="164">
        <f t="shared" si="6"/>
        <v>99450000</v>
      </c>
      <c r="S25" s="164">
        <f t="shared" si="6"/>
        <v>115155145</v>
      </c>
      <c r="T25" s="164">
        <f t="shared" si="6"/>
        <v>1524000</v>
      </c>
      <c r="U25" s="164">
        <f t="shared" si="6"/>
        <v>0</v>
      </c>
      <c r="V25" s="204"/>
    </row>
    <row r="26" spans="1:22" s="159" customFormat="1" ht="18">
      <c r="A26" s="170"/>
      <c r="B26" s="170" t="s">
        <v>336</v>
      </c>
      <c r="C26" s="171" t="s">
        <v>337</v>
      </c>
      <c r="D26" s="177">
        <f t="shared" si="0"/>
        <v>25055880</v>
      </c>
      <c r="E26" s="178">
        <v>0</v>
      </c>
      <c r="F26" s="178">
        <v>0</v>
      </c>
      <c r="G26" s="178">
        <f>25000000+55880</f>
        <v>25055880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7">
        <f t="shared" si="2"/>
        <v>25055880</v>
      </c>
      <c r="N26" s="178">
        <v>0</v>
      </c>
      <c r="O26" s="178">
        <v>0</v>
      </c>
      <c r="P26" s="178">
        <f>25000000+55880</f>
        <v>25055880</v>
      </c>
      <c r="Q26" s="178">
        <v>0</v>
      </c>
      <c r="R26" s="178">
        <v>0</v>
      </c>
      <c r="S26" s="178">
        <v>0</v>
      </c>
      <c r="T26" s="178">
        <v>0</v>
      </c>
      <c r="U26" s="178">
        <v>0</v>
      </c>
      <c r="V26" s="232" t="s">
        <v>1286</v>
      </c>
    </row>
    <row r="27" spans="1:22" s="159" customFormat="1" ht="18">
      <c r="A27" s="170"/>
      <c r="B27" s="170" t="s">
        <v>338</v>
      </c>
      <c r="C27" s="171" t="s">
        <v>915</v>
      </c>
      <c r="D27" s="177">
        <f t="shared" si="0"/>
        <v>9686915</v>
      </c>
      <c r="E27" s="178">
        <v>0</v>
      </c>
      <c r="F27" s="178">
        <v>0</v>
      </c>
      <c r="G27" s="178">
        <f>7000000+2686915-1225145</f>
        <v>8461770</v>
      </c>
      <c r="H27" s="178">
        <v>0</v>
      </c>
      <c r="I27" s="178">
        <v>0</v>
      </c>
      <c r="J27" s="178">
        <f>0+1225145</f>
        <v>1225145</v>
      </c>
      <c r="K27" s="178">
        <v>0</v>
      </c>
      <c r="L27" s="178">
        <v>0</v>
      </c>
      <c r="M27" s="177">
        <f t="shared" si="2"/>
        <v>9686915</v>
      </c>
      <c r="N27" s="178">
        <v>0</v>
      </c>
      <c r="O27" s="178">
        <v>0</v>
      </c>
      <c r="P27" s="178">
        <f>7000000+2686915-1225145</f>
        <v>8461770</v>
      </c>
      <c r="Q27" s="178">
        <v>0</v>
      </c>
      <c r="R27" s="178">
        <v>0</v>
      </c>
      <c r="S27" s="178">
        <f>0+1225145</f>
        <v>1225145</v>
      </c>
      <c r="T27" s="178">
        <v>0</v>
      </c>
      <c r="U27" s="178">
        <v>0</v>
      </c>
      <c r="V27" s="232" t="s">
        <v>1287</v>
      </c>
    </row>
    <row r="28" spans="1:22" s="159" customFormat="1" ht="18">
      <c r="A28" s="170"/>
      <c r="B28" s="170" t="s">
        <v>339</v>
      </c>
      <c r="C28" s="171" t="s">
        <v>340</v>
      </c>
      <c r="D28" s="177">
        <f t="shared" si="0"/>
        <v>20000000</v>
      </c>
      <c r="E28" s="178">
        <v>0</v>
      </c>
      <c r="F28" s="178">
        <v>0</v>
      </c>
      <c r="G28" s="178">
        <f>25000000-5000000</f>
        <v>20000000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177">
        <f t="shared" si="2"/>
        <v>20000000</v>
      </c>
      <c r="N28" s="178">
        <v>0</v>
      </c>
      <c r="O28" s="178">
        <v>0</v>
      </c>
      <c r="P28" s="178">
        <f>25000000-5000000</f>
        <v>20000000</v>
      </c>
      <c r="Q28" s="178">
        <v>0</v>
      </c>
      <c r="R28" s="178">
        <v>0</v>
      </c>
      <c r="S28" s="178">
        <v>0</v>
      </c>
      <c r="T28" s="178">
        <v>0</v>
      </c>
      <c r="U28" s="178">
        <v>0</v>
      </c>
      <c r="V28" s="232" t="s">
        <v>1288</v>
      </c>
    </row>
    <row r="29" spans="1:22" s="159" customFormat="1" ht="18">
      <c r="A29" s="170"/>
      <c r="B29" s="170" t="s">
        <v>341</v>
      </c>
      <c r="C29" s="171" t="s">
        <v>828</v>
      </c>
      <c r="D29" s="177">
        <f t="shared" si="0"/>
        <v>5000000</v>
      </c>
      <c r="E29" s="178">
        <v>0</v>
      </c>
      <c r="F29" s="178">
        <v>0</v>
      </c>
      <c r="G29" s="178">
        <v>5000000</v>
      </c>
      <c r="H29" s="178">
        <v>0</v>
      </c>
      <c r="I29" s="178">
        <v>0</v>
      </c>
      <c r="J29" s="178">
        <v>0</v>
      </c>
      <c r="K29" s="178">
        <v>0</v>
      </c>
      <c r="L29" s="178">
        <v>0</v>
      </c>
      <c r="M29" s="177">
        <f t="shared" si="2"/>
        <v>5000000</v>
      </c>
      <c r="N29" s="178">
        <v>0</v>
      </c>
      <c r="O29" s="178">
        <v>0</v>
      </c>
      <c r="P29" s="178">
        <v>5000000</v>
      </c>
      <c r="Q29" s="178">
        <v>0</v>
      </c>
      <c r="R29" s="178">
        <v>0</v>
      </c>
      <c r="S29" s="178">
        <v>0</v>
      </c>
      <c r="T29" s="178">
        <v>0</v>
      </c>
      <c r="U29" s="178">
        <v>0</v>
      </c>
      <c r="V29" s="232" t="s">
        <v>1289</v>
      </c>
    </row>
    <row r="30" spans="1:22" s="159" customFormat="1" ht="18">
      <c r="A30" s="170"/>
      <c r="B30" s="170" t="s">
        <v>343</v>
      </c>
      <c r="C30" s="171" t="s">
        <v>829</v>
      </c>
      <c r="D30" s="177">
        <f t="shared" si="0"/>
        <v>6324650</v>
      </c>
      <c r="E30" s="178">
        <v>0</v>
      </c>
      <c r="F30" s="178">
        <v>0</v>
      </c>
      <c r="G30" s="178">
        <f>5000000+1324650</f>
        <v>6324650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  <c r="M30" s="177">
        <f t="shared" si="2"/>
        <v>6324650</v>
      </c>
      <c r="N30" s="178">
        <v>0</v>
      </c>
      <c r="O30" s="178">
        <v>0</v>
      </c>
      <c r="P30" s="178">
        <f>5000000+1324650</f>
        <v>6324650</v>
      </c>
      <c r="Q30" s="178">
        <v>0</v>
      </c>
      <c r="R30" s="178">
        <v>0</v>
      </c>
      <c r="S30" s="178">
        <v>0</v>
      </c>
      <c r="T30" s="178">
        <v>0</v>
      </c>
      <c r="U30" s="178">
        <v>0</v>
      </c>
      <c r="V30" s="232" t="s">
        <v>1290</v>
      </c>
    </row>
    <row r="31" spans="1:22" s="159" customFormat="1" ht="18">
      <c r="A31" s="170"/>
      <c r="B31" s="170" t="s">
        <v>344</v>
      </c>
      <c r="C31" s="171" t="s">
        <v>342</v>
      </c>
      <c r="D31" s="177">
        <f t="shared" si="0"/>
        <v>25000000</v>
      </c>
      <c r="E31" s="178">
        <v>0</v>
      </c>
      <c r="F31" s="178">
        <v>0</v>
      </c>
      <c r="G31" s="178">
        <f>25000000+15000000-15000000</f>
        <v>25000000</v>
      </c>
      <c r="H31" s="178">
        <v>0</v>
      </c>
      <c r="I31" s="178">
        <v>0</v>
      </c>
      <c r="J31" s="178">
        <v>0</v>
      </c>
      <c r="K31" s="178">
        <v>0</v>
      </c>
      <c r="L31" s="178">
        <v>0</v>
      </c>
      <c r="M31" s="177">
        <f t="shared" si="2"/>
        <v>25000000</v>
      </c>
      <c r="N31" s="178">
        <v>0</v>
      </c>
      <c r="O31" s="178">
        <v>0</v>
      </c>
      <c r="P31" s="178">
        <f>25000000+15000000-15000000</f>
        <v>25000000</v>
      </c>
      <c r="Q31" s="178">
        <v>0</v>
      </c>
      <c r="R31" s="178">
        <v>0</v>
      </c>
      <c r="S31" s="178">
        <v>0</v>
      </c>
      <c r="T31" s="178">
        <v>0</v>
      </c>
      <c r="U31" s="178">
        <v>0</v>
      </c>
      <c r="V31" s="232" t="s">
        <v>1291</v>
      </c>
    </row>
    <row r="32" spans="1:22" s="159" customFormat="1" ht="18">
      <c r="A32" s="170"/>
      <c r="B32" s="170" t="s">
        <v>346</v>
      </c>
      <c r="C32" s="171" t="s">
        <v>830</v>
      </c>
      <c r="D32" s="177">
        <f t="shared" si="0"/>
        <v>20150000</v>
      </c>
      <c r="E32" s="178"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f>57150000-37000000</f>
        <v>20150000</v>
      </c>
      <c r="K32" s="178">
        <v>0</v>
      </c>
      <c r="L32" s="178">
        <v>0</v>
      </c>
      <c r="M32" s="177">
        <f t="shared" si="2"/>
        <v>20150000</v>
      </c>
      <c r="N32" s="178">
        <v>0</v>
      </c>
      <c r="O32" s="178">
        <v>0</v>
      </c>
      <c r="P32" s="178">
        <v>0</v>
      </c>
      <c r="Q32" s="178">
        <v>0</v>
      </c>
      <c r="R32" s="178">
        <v>0</v>
      </c>
      <c r="S32" s="178">
        <f>57150000-37000000</f>
        <v>20150000</v>
      </c>
      <c r="T32" s="178">
        <v>0</v>
      </c>
      <c r="U32" s="178">
        <v>0</v>
      </c>
      <c r="V32" s="232">
        <v>52607</v>
      </c>
    </row>
    <row r="33" spans="1:22" s="159" customFormat="1" ht="18">
      <c r="A33" s="170"/>
      <c r="B33" s="170" t="s">
        <v>347</v>
      </c>
      <c r="C33" s="176" t="s">
        <v>345</v>
      </c>
      <c r="D33" s="177">
        <f t="shared" si="0"/>
        <v>1000000</v>
      </c>
      <c r="E33" s="178">
        <v>0</v>
      </c>
      <c r="F33" s="178">
        <v>0</v>
      </c>
      <c r="G33" s="178">
        <v>1000000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7">
        <f t="shared" si="2"/>
        <v>1000000</v>
      </c>
      <c r="N33" s="178">
        <v>0</v>
      </c>
      <c r="O33" s="178">
        <v>0</v>
      </c>
      <c r="P33" s="178">
        <v>1000000</v>
      </c>
      <c r="Q33" s="178">
        <v>0</v>
      </c>
      <c r="R33" s="178">
        <v>0</v>
      </c>
      <c r="S33" s="178">
        <v>0</v>
      </c>
      <c r="T33" s="178">
        <v>0</v>
      </c>
      <c r="U33" s="178">
        <v>0</v>
      </c>
      <c r="V33" s="232" t="s">
        <v>1292</v>
      </c>
    </row>
    <row r="34" spans="1:22" s="159" customFormat="1" ht="18">
      <c r="A34" s="170"/>
      <c r="B34" s="170" t="s">
        <v>349</v>
      </c>
      <c r="C34" s="175" t="s">
        <v>919</v>
      </c>
      <c r="D34" s="177">
        <f t="shared" si="0"/>
        <v>10000000</v>
      </c>
      <c r="E34" s="178">
        <v>0</v>
      </c>
      <c r="F34" s="178">
        <v>0</v>
      </c>
      <c r="G34" s="178">
        <v>0</v>
      </c>
      <c r="H34" s="178">
        <v>0</v>
      </c>
      <c r="I34" s="178">
        <v>0</v>
      </c>
      <c r="J34" s="178">
        <f>41402000-31402000</f>
        <v>10000000</v>
      </c>
      <c r="K34" s="178">
        <v>0</v>
      </c>
      <c r="L34" s="178">
        <v>0</v>
      </c>
      <c r="M34" s="177">
        <f t="shared" si="2"/>
        <v>10000000</v>
      </c>
      <c r="N34" s="178">
        <v>0</v>
      </c>
      <c r="O34" s="178">
        <v>0</v>
      </c>
      <c r="P34" s="178">
        <v>0</v>
      </c>
      <c r="Q34" s="178">
        <v>0</v>
      </c>
      <c r="R34" s="178">
        <v>0</v>
      </c>
      <c r="S34" s="178">
        <f>41402000-31402000</f>
        <v>10000000</v>
      </c>
      <c r="T34" s="178">
        <v>0</v>
      </c>
      <c r="U34" s="178">
        <v>0</v>
      </c>
      <c r="V34" s="232" t="s">
        <v>1293</v>
      </c>
    </row>
    <row r="35" spans="1:22" s="159" customFormat="1" ht="18">
      <c r="A35" s="170"/>
      <c r="B35" s="170" t="s">
        <v>350</v>
      </c>
      <c r="C35" s="176" t="s">
        <v>1149</v>
      </c>
      <c r="D35" s="177">
        <f t="shared" si="0"/>
        <v>33364684</v>
      </c>
      <c r="E35" s="178">
        <v>0</v>
      </c>
      <c r="F35" s="178">
        <v>0</v>
      </c>
      <c r="G35" s="178">
        <f>30000000+3364684</f>
        <v>33364684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  <c r="M35" s="177">
        <f t="shared" si="2"/>
        <v>33364684</v>
      </c>
      <c r="N35" s="178">
        <v>0</v>
      </c>
      <c r="O35" s="178">
        <v>0</v>
      </c>
      <c r="P35" s="178">
        <f>30000000+3364684</f>
        <v>33364684</v>
      </c>
      <c r="Q35" s="178">
        <v>0</v>
      </c>
      <c r="R35" s="178">
        <v>0</v>
      </c>
      <c r="S35" s="178">
        <v>0</v>
      </c>
      <c r="T35" s="178">
        <v>0</v>
      </c>
      <c r="U35" s="178">
        <v>0</v>
      </c>
      <c r="V35" s="232">
        <v>52610</v>
      </c>
    </row>
    <row r="36" spans="1:22" s="159" customFormat="1" ht="18">
      <c r="A36" s="170"/>
      <c r="B36" s="170" t="s">
        <v>921</v>
      </c>
      <c r="C36" s="176" t="s">
        <v>920</v>
      </c>
      <c r="D36" s="177">
        <f t="shared" si="0"/>
        <v>381000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8">
        <v>381000</v>
      </c>
      <c r="K36" s="178">
        <v>0</v>
      </c>
      <c r="L36" s="178">
        <v>0</v>
      </c>
      <c r="M36" s="177">
        <f t="shared" si="2"/>
        <v>381000</v>
      </c>
      <c r="N36" s="178">
        <v>0</v>
      </c>
      <c r="O36" s="178">
        <v>0</v>
      </c>
      <c r="P36" s="178">
        <v>0</v>
      </c>
      <c r="Q36" s="178">
        <v>0</v>
      </c>
      <c r="R36" s="178">
        <v>0</v>
      </c>
      <c r="S36" s="178">
        <v>381000</v>
      </c>
      <c r="T36" s="178">
        <v>0</v>
      </c>
      <c r="U36" s="178">
        <v>0</v>
      </c>
      <c r="V36" s="232" t="s">
        <v>1294</v>
      </c>
    </row>
    <row r="37" spans="1:22" s="159" customFormat="1" ht="18">
      <c r="A37" s="170"/>
      <c r="B37" s="170" t="s">
        <v>922</v>
      </c>
      <c r="C37" s="176" t="s">
        <v>831</v>
      </c>
      <c r="D37" s="177">
        <f t="shared" si="0"/>
        <v>381000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8">
        <v>381000</v>
      </c>
      <c r="K37" s="178">
        <v>0</v>
      </c>
      <c r="L37" s="178">
        <v>0</v>
      </c>
      <c r="M37" s="177">
        <f t="shared" si="2"/>
        <v>381000</v>
      </c>
      <c r="N37" s="178">
        <v>0</v>
      </c>
      <c r="O37" s="178">
        <v>0</v>
      </c>
      <c r="P37" s="178">
        <v>0</v>
      </c>
      <c r="Q37" s="178">
        <v>0</v>
      </c>
      <c r="R37" s="178">
        <v>0</v>
      </c>
      <c r="S37" s="178">
        <v>381000</v>
      </c>
      <c r="T37" s="178">
        <v>0</v>
      </c>
      <c r="U37" s="178">
        <v>0</v>
      </c>
      <c r="V37" s="232" t="s">
        <v>1295</v>
      </c>
    </row>
    <row r="38" spans="1:22" s="159" customFormat="1" ht="18">
      <c r="A38" s="170"/>
      <c r="B38" s="170" t="s">
        <v>923</v>
      </c>
      <c r="C38" s="174" t="s">
        <v>1157</v>
      </c>
      <c r="D38" s="177">
        <f t="shared" si="0"/>
        <v>4100000</v>
      </c>
      <c r="E38" s="178">
        <v>0</v>
      </c>
      <c r="F38" s="178">
        <v>0</v>
      </c>
      <c r="G38" s="178">
        <v>4100000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  <c r="M38" s="177">
        <f t="shared" si="2"/>
        <v>4100000</v>
      </c>
      <c r="N38" s="178">
        <v>0</v>
      </c>
      <c r="O38" s="178">
        <v>0</v>
      </c>
      <c r="P38" s="178">
        <v>4100000</v>
      </c>
      <c r="Q38" s="178">
        <v>0</v>
      </c>
      <c r="R38" s="178">
        <v>0</v>
      </c>
      <c r="S38" s="178">
        <v>0</v>
      </c>
      <c r="T38" s="178">
        <v>0</v>
      </c>
      <c r="U38" s="178">
        <v>0</v>
      </c>
      <c r="V38" s="232">
        <v>52613</v>
      </c>
    </row>
    <row r="39" spans="1:22" s="159" customFormat="1" ht="18">
      <c r="A39" s="170"/>
      <c r="B39" s="170" t="s">
        <v>924</v>
      </c>
      <c r="C39" s="176" t="s">
        <v>1150</v>
      </c>
      <c r="D39" s="180">
        <f t="shared" si="0"/>
        <v>6200000</v>
      </c>
      <c r="E39" s="178">
        <v>0</v>
      </c>
      <c r="F39" s="178">
        <v>0</v>
      </c>
      <c r="G39" s="178">
        <f>6000000</f>
        <v>6000000</v>
      </c>
      <c r="H39" s="178">
        <v>0</v>
      </c>
      <c r="I39" s="178">
        <f>0+200000</f>
        <v>200000</v>
      </c>
      <c r="J39" s="178">
        <v>0</v>
      </c>
      <c r="K39" s="178">
        <v>0</v>
      </c>
      <c r="L39" s="178">
        <v>0</v>
      </c>
      <c r="M39" s="180">
        <f t="shared" si="2"/>
        <v>6200000</v>
      </c>
      <c r="N39" s="178">
        <v>0</v>
      </c>
      <c r="O39" s="178">
        <v>0</v>
      </c>
      <c r="P39" s="178">
        <f>6000000</f>
        <v>6000000</v>
      </c>
      <c r="Q39" s="178">
        <v>0</v>
      </c>
      <c r="R39" s="178">
        <f>0+200000</f>
        <v>200000</v>
      </c>
      <c r="S39" s="178">
        <v>0</v>
      </c>
      <c r="T39" s="178">
        <v>0</v>
      </c>
      <c r="U39" s="178">
        <v>0</v>
      </c>
      <c r="V39" s="292" t="s">
        <v>1296</v>
      </c>
    </row>
    <row r="40" spans="1:22" s="159" customFormat="1" ht="18">
      <c r="A40" s="170"/>
      <c r="B40" s="170" t="s">
        <v>925</v>
      </c>
      <c r="C40" s="176" t="s">
        <v>1151</v>
      </c>
      <c r="D40" s="180">
        <f t="shared" si="0"/>
        <v>2000000</v>
      </c>
      <c r="E40" s="178">
        <v>0</v>
      </c>
      <c r="F40" s="178">
        <v>0</v>
      </c>
      <c r="G40" s="178">
        <v>2000000</v>
      </c>
      <c r="H40" s="178">
        <v>0</v>
      </c>
      <c r="I40" s="178">
        <v>0</v>
      </c>
      <c r="J40" s="178">
        <v>0</v>
      </c>
      <c r="K40" s="178">
        <v>0</v>
      </c>
      <c r="L40" s="178">
        <v>0</v>
      </c>
      <c r="M40" s="180">
        <f t="shared" si="2"/>
        <v>2000000</v>
      </c>
      <c r="N40" s="178">
        <v>0</v>
      </c>
      <c r="O40" s="178">
        <v>0</v>
      </c>
      <c r="P40" s="178">
        <v>2000000</v>
      </c>
      <c r="Q40" s="178">
        <v>0</v>
      </c>
      <c r="R40" s="178">
        <v>0</v>
      </c>
      <c r="S40" s="178">
        <v>0</v>
      </c>
      <c r="T40" s="178">
        <v>0</v>
      </c>
      <c r="U40" s="178">
        <v>0</v>
      </c>
      <c r="V40" s="292" t="s">
        <v>1297</v>
      </c>
    </row>
    <row r="41" spans="1:22" s="159" customFormat="1" ht="18">
      <c r="A41" s="170"/>
      <c r="B41" s="170" t="s">
        <v>926</v>
      </c>
      <c r="C41" s="176" t="s">
        <v>1152</v>
      </c>
      <c r="D41" s="180">
        <f t="shared" si="0"/>
        <v>5000000</v>
      </c>
      <c r="E41" s="178">
        <v>0</v>
      </c>
      <c r="F41" s="178">
        <v>0</v>
      </c>
      <c r="G41" s="178">
        <v>5000000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80">
        <f t="shared" si="2"/>
        <v>5000000</v>
      </c>
      <c r="N41" s="178">
        <v>0</v>
      </c>
      <c r="O41" s="178">
        <v>0</v>
      </c>
      <c r="P41" s="178">
        <v>5000000</v>
      </c>
      <c r="Q41" s="178">
        <v>0</v>
      </c>
      <c r="R41" s="178">
        <v>0</v>
      </c>
      <c r="S41" s="178">
        <v>0</v>
      </c>
      <c r="T41" s="178">
        <v>0</v>
      </c>
      <c r="U41" s="178">
        <v>0</v>
      </c>
      <c r="V41" s="292" t="s">
        <v>1298</v>
      </c>
    </row>
    <row r="42" spans="1:22" s="159" customFormat="1" ht="18">
      <c r="A42" s="170"/>
      <c r="B42" s="170" t="s">
        <v>927</v>
      </c>
      <c r="C42" s="194" t="s">
        <v>1153</v>
      </c>
      <c r="D42" s="180">
        <f>SUM(E42:L42)</f>
        <v>5000000</v>
      </c>
      <c r="E42" s="178">
        <v>0</v>
      </c>
      <c r="F42" s="178">
        <v>0</v>
      </c>
      <c r="G42" s="178">
        <f>10000000-5000000</f>
        <v>5000000</v>
      </c>
      <c r="H42" s="178">
        <v>0</v>
      </c>
      <c r="I42" s="178">
        <v>0</v>
      </c>
      <c r="J42" s="178">
        <v>0</v>
      </c>
      <c r="K42" s="178">
        <v>0</v>
      </c>
      <c r="L42" s="178">
        <v>0</v>
      </c>
      <c r="M42" s="180">
        <f aca="true" t="shared" si="7" ref="M42:M48">SUM(N42:U42)</f>
        <v>5000000</v>
      </c>
      <c r="N42" s="178">
        <v>0</v>
      </c>
      <c r="O42" s="178">
        <v>0</v>
      </c>
      <c r="P42" s="178">
        <f>10000000-5000000</f>
        <v>5000000</v>
      </c>
      <c r="Q42" s="178">
        <v>0</v>
      </c>
      <c r="R42" s="178">
        <v>0</v>
      </c>
      <c r="S42" s="178">
        <v>0</v>
      </c>
      <c r="T42" s="178">
        <v>0</v>
      </c>
      <c r="U42" s="178">
        <v>0</v>
      </c>
      <c r="V42" s="292">
        <v>52617</v>
      </c>
    </row>
    <row r="43" spans="1:22" s="159" customFormat="1" ht="18">
      <c r="A43" s="170"/>
      <c r="B43" s="170" t="s">
        <v>928</v>
      </c>
      <c r="C43" s="176" t="s">
        <v>348</v>
      </c>
      <c r="D43" s="180">
        <f t="shared" si="0"/>
        <v>0</v>
      </c>
      <c r="E43" s="178">
        <v>0</v>
      </c>
      <c r="F43" s="178">
        <v>0</v>
      </c>
      <c r="G43" s="178">
        <v>0</v>
      </c>
      <c r="H43" s="178">
        <v>0</v>
      </c>
      <c r="I43" s="178">
        <v>0</v>
      </c>
      <c r="J43" s="178">
        <v>0</v>
      </c>
      <c r="K43" s="178">
        <v>0</v>
      </c>
      <c r="L43" s="178">
        <v>0</v>
      </c>
      <c r="M43" s="180">
        <f t="shared" si="7"/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  <c r="S43" s="178">
        <v>0</v>
      </c>
      <c r="T43" s="178">
        <v>0</v>
      </c>
      <c r="U43" s="178">
        <v>0</v>
      </c>
      <c r="V43" s="292" t="s">
        <v>1299</v>
      </c>
    </row>
    <row r="44" spans="1:22" s="159" customFormat="1" ht="27.75" customHeight="1">
      <c r="A44" s="170"/>
      <c r="B44" s="170" t="s">
        <v>929</v>
      </c>
      <c r="C44" s="176" t="s">
        <v>1154</v>
      </c>
      <c r="D44" s="180">
        <f t="shared" si="0"/>
        <v>96250000</v>
      </c>
      <c r="E44" s="178">
        <v>0</v>
      </c>
      <c r="F44" s="178">
        <v>0</v>
      </c>
      <c r="G44" s="178">
        <v>0</v>
      </c>
      <c r="H44" s="178">
        <v>0</v>
      </c>
      <c r="I44" s="178">
        <f>50000000+46250000</f>
        <v>96250000</v>
      </c>
      <c r="J44" s="178">
        <v>0</v>
      </c>
      <c r="K44" s="178">
        <v>0</v>
      </c>
      <c r="L44" s="178">
        <v>0</v>
      </c>
      <c r="M44" s="180">
        <f t="shared" si="7"/>
        <v>96250000</v>
      </c>
      <c r="N44" s="178">
        <v>0</v>
      </c>
      <c r="O44" s="178">
        <v>0</v>
      </c>
      <c r="P44" s="178">
        <v>0</v>
      </c>
      <c r="Q44" s="178">
        <v>0</v>
      </c>
      <c r="R44" s="178">
        <f>50000000+46250000</f>
        <v>96250000</v>
      </c>
      <c r="S44" s="178">
        <v>0</v>
      </c>
      <c r="T44" s="178">
        <v>0</v>
      </c>
      <c r="U44" s="178">
        <v>0</v>
      </c>
      <c r="V44" s="292" t="s">
        <v>1300</v>
      </c>
    </row>
    <row r="45" spans="1:22" s="159" customFormat="1" ht="27.75" customHeight="1">
      <c r="A45" s="170"/>
      <c r="B45" s="170" t="s">
        <v>930</v>
      </c>
      <c r="C45" s="160" t="s">
        <v>945</v>
      </c>
      <c r="D45" s="180">
        <f t="shared" si="0"/>
        <v>3000000</v>
      </c>
      <c r="E45" s="178">
        <v>0</v>
      </c>
      <c r="F45" s="178">
        <v>0</v>
      </c>
      <c r="G45" s="178">
        <v>0</v>
      </c>
      <c r="H45" s="178">
        <v>0</v>
      </c>
      <c r="I45" s="178">
        <v>3000000</v>
      </c>
      <c r="J45" s="178">
        <v>0</v>
      </c>
      <c r="K45" s="178">
        <v>0</v>
      </c>
      <c r="L45" s="178">
        <v>0</v>
      </c>
      <c r="M45" s="180">
        <f t="shared" si="7"/>
        <v>3000000</v>
      </c>
      <c r="N45" s="178">
        <v>0</v>
      </c>
      <c r="O45" s="178">
        <v>0</v>
      </c>
      <c r="P45" s="178">
        <v>0</v>
      </c>
      <c r="Q45" s="178">
        <v>0</v>
      </c>
      <c r="R45" s="178">
        <v>3000000</v>
      </c>
      <c r="S45" s="178">
        <v>0</v>
      </c>
      <c r="T45" s="178">
        <v>0</v>
      </c>
      <c r="U45" s="178">
        <v>0</v>
      </c>
      <c r="V45" s="292" t="s">
        <v>1301</v>
      </c>
    </row>
    <row r="46" spans="1:22" s="159" customFormat="1" ht="27.75" customHeight="1">
      <c r="A46" s="170"/>
      <c r="B46" s="170" t="s">
        <v>931</v>
      </c>
      <c r="C46" s="173" t="s">
        <v>1155</v>
      </c>
      <c r="D46" s="180">
        <f aca="true" t="shared" si="8" ref="D46:D55">SUM(E46:L46)</f>
        <v>5000000</v>
      </c>
      <c r="E46" s="178">
        <v>0</v>
      </c>
      <c r="F46" s="178">
        <v>0</v>
      </c>
      <c r="G46" s="178">
        <v>5000000</v>
      </c>
      <c r="H46" s="178">
        <v>0</v>
      </c>
      <c r="I46" s="178">
        <v>0</v>
      </c>
      <c r="J46" s="178">
        <v>0</v>
      </c>
      <c r="K46" s="178">
        <v>0</v>
      </c>
      <c r="L46" s="178">
        <v>0</v>
      </c>
      <c r="M46" s="180">
        <f t="shared" si="7"/>
        <v>5000000</v>
      </c>
      <c r="N46" s="178">
        <v>0</v>
      </c>
      <c r="O46" s="178">
        <v>0</v>
      </c>
      <c r="P46" s="178">
        <v>5000000</v>
      </c>
      <c r="Q46" s="178">
        <v>0</v>
      </c>
      <c r="R46" s="178">
        <v>0</v>
      </c>
      <c r="S46" s="178">
        <v>0</v>
      </c>
      <c r="T46" s="178">
        <v>0</v>
      </c>
      <c r="U46" s="178">
        <v>0</v>
      </c>
      <c r="V46" s="292" t="s">
        <v>1302</v>
      </c>
    </row>
    <row r="47" spans="1:22" s="159" customFormat="1" ht="18">
      <c r="A47" s="170"/>
      <c r="B47" s="170" t="s">
        <v>932</v>
      </c>
      <c r="C47" s="194" t="s">
        <v>463</v>
      </c>
      <c r="D47" s="180">
        <f t="shared" si="8"/>
        <v>40000000</v>
      </c>
      <c r="E47" s="178">
        <v>0</v>
      </c>
      <c r="F47" s="178">
        <v>0</v>
      </c>
      <c r="G47" s="178">
        <v>40000000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80">
        <f t="shared" si="7"/>
        <v>40000000</v>
      </c>
      <c r="N47" s="178">
        <v>0</v>
      </c>
      <c r="O47" s="178">
        <v>0</v>
      </c>
      <c r="P47" s="178">
        <v>40000000</v>
      </c>
      <c r="Q47" s="178">
        <v>0</v>
      </c>
      <c r="R47" s="178">
        <v>0</v>
      </c>
      <c r="S47" s="178">
        <v>0</v>
      </c>
      <c r="T47" s="178">
        <v>0</v>
      </c>
      <c r="U47" s="178">
        <v>0</v>
      </c>
      <c r="V47" s="292" t="s">
        <v>1303</v>
      </c>
    </row>
    <row r="48" spans="1:22" s="159" customFormat="1" ht="18">
      <c r="A48" s="170"/>
      <c r="B48" s="170" t="s">
        <v>1156</v>
      </c>
      <c r="C48" s="194" t="s">
        <v>1170</v>
      </c>
      <c r="D48" s="180">
        <f>SUM(E48:L48)</f>
        <v>0</v>
      </c>
      <c r="E48" s="178">
        <v>0</v>
      </c>
      <c r="F48" s="178">
        <v>0</v>
      </c>
      <c r="G48" s="178">
        <v>0</v>
      </c>
      <c r="H48" s="178">
        <v>0</v>
      </c>
      <c r="I48" s="178">
        <v>0</v>
      </c>
      <c r="J48" s="178">
        <v>0</v>
      </c>
      <c r="K48" s="178">
        <v>0</v>
      </c>
      <c r="L48" s="178">
        <v>0</v>
      </c>
      <c r="M48" s="180">
        <f t="shared" si="7"/>
        <v>0</v>
      </c>
      <c r="N48" s="178">
        <v>0</v>
      </c>
      <c r="O48" s="178">
        <v>0</v>
      </c>
      <c r="P48" s="178">
        <v>0</v>
      </c>
      <c r="Q48" s="178">
        <v>0</v>
      </c>
      <c r="R48" s="178">
        <v>0</v>
      </c>
      <c r="S48" s="178">
        <v>0</v>
      </c>
      <c r="T48" s="178">
        <v>0</v>
      </c>
      <c r="U48" s="178">
        <v>0</v>
      </c>
      <c r="V48" s="292" t="s">
        <v>1304</v>
      </c>
    </row>
    <row r="49" spans="1:22" s="159" customFormat="1" ht="18">
      <c r="A49" s="170"/>
      <c r="B49" s="170" t="s">
        <v>1158</v>
      </c>
      <c r="C49" s="194" t="s">
        <v>1191</v>
      </c>
      <c r="D49" s="180">
        <f t="shared" si="8"/>
        <v>6000000</v>
      </c>
      <c r="E49" s="178">
        <v>0</v>
      </c>
      <c r="F49" s="178">
        <v>0</v>
      </c>
      <c r="G49" s="178">
        <v>0</v>
      </c>
      <c r="H49" s="178">
        <v>0</v>
      </c>
      <c r="I49" s="178">
        <v>0</v>
      </c>
      <c r="J49" s="178">
        <f>92233000-86233000</f>
        <v>6000000</v>
      </c>
      <c r="K49" s="178">
        <v>0</v>
      </c>
      <c r="L49" s="178">
        <v>0</v>
      </c>
      <c r="M49" s="180">
        <f aca="true" t="shared" si="9" ref="M49:M55">SUM(N49:U49)</f>
        <v>6000000</v>
      </c>
      <c r="N49" s="178">
        <v>0</v>
      </c>
      <c r="O49" s="178">
        <v>0</v>
      </c>
      <c r="P49" s="178">
        <v>0</v>
      </c>
      <c r="Q49" s="178">
        <v>0</v>
      </c>
      <c r="R49" s="178">
        <v>0</v>
      </c>
      <c r="S49" s="178">
        <f>92233000-86233000</f>
        <v>6000000</v>
      </c>
      <c r="T49" s="178">
        <v>0</v>
      </c>
      <c r="U49" s="178">
        <v>0</v>
      </c>
      <c r="V49" s="292">
        <v>52610</v>
      </c>
    </row>
    <row r="50" spans="1:22" s="159" customFormat="1" ht="18">
      <c r="A50" s="170"/>
      <c r="B50" s="170" t="s">
        <v>1160</v>
      </c>
      <c r="C50" s="194" t="s">
        <v>1161</v>
      </c>
      <c r="D50" s="180">
        <f t="shared" si="8"/>
        <v>50000000</v>
      </c>
      <c r="E50" s="178">
        <v>0</v>
      </c>
      <c r="F50" s="178">
        <v>0</v>
      </c>
      <c r="G50" s="178">
        <v>0</v>
      </c>
      <c r="H50" s="178">
        <v>0</v>
      </c>
      <c r="I50" s="178">
        <v>0</v>
      </c>
      <c r="J50" s="178">
        <v>50000000</v>
      </c>
      <c r="K50" s="178">
        <v>0</v>
      </c>
      <c r="L50" s="178">
        <v>0</v>
      </c>
      <c r="M50" s="180">
        <f t="shared" si="9"/>
        <v>50000000</v>
      </c>
      <c r="N50" s="178">
        <v>0</v>
      </c>
      <c r="O50" s="178">
        <v>0</v>
      </c>
      <c r="P50" s="178">
        <v>0</v>
      </c>
      <c r="Q50" s="178">
        <v>0</v>
      </c>
      <c r="R50" s="178">
        <v>0</v>
      </c>
      <c r="S50" s="178">
        <v>50000000</v>
      </c>
      <c r="T50" s="178">
        <v>0</v>
      </c>
      <c r="U50" s="178">
        <v>0</v>
      </c>
      <c r="V50" s="292">
        <v>52613</v>
      </c>
    </row>
    <row r="51" spans="1:22" s="159" customFormat="1" ht="18">
      <c r="A51" s="170"/>
      <c r="B51" s="170" t="s">
        <v>1162</v>
      </c>
      <c r="C51" s="174" t="s">
        <v>1163</v>
      </c>
      <c r="D51" s="180">
        <f t="shared" si="8"/>
        <v>10000000</v>
      </c>
      <c r="E51" s="178">
        <v>0</v>
      </c>
      <c r="F51" s="178">
        <v>0</v>
      </c>
      <c r="G51" s="178">
        <v>0</v>
      </c>
      <c r="H51" s="178">
        <v>0</v>
      </c>
      <c r="I51" s="178">
        <v>0</v>
      </c>
      <c r="J51" s="178">
        <v>10000000</v>
      </c>
      <c r="K51" s="178">
        <v>0</v>
      </c>
      <c r="L51" s="178">
        <v>0</v>
      </c>
      <c r="M51" s="180">
        <f t="shared" si="9"/>
        <v>10000000</v>
      </c>
      <c r="N51" s="178">
        <v>0</v>
      </c>
      <c r="O51" s="178">
        <v>0</v>
      </c>
      <c r="P51" s="178">
        <v>0</v>
      </c>
      <c r="Q51" s="178">
        <v>0</v>
      </c>
      <c r="R51" s="178">
        <v>0</v>
      </c>
      <c r="S51" s="178">
        <v>10000000</v>
      </c>
      <c r="T51" s="178">
        <v>0</v>
      </c>
      <c r="U51" s="178">
        <v>0</v>
      </c>
      <c r="V51" s="292">
        <v>52624</v>
      </c>
    </row>
    <row r="52" spans="1:22" s="159" customFormat="1" ht="18">
      <c r="A52" s="170"/>
      <c r="B52" s="170" t="s">
        <v>1164</v>
      </c>
      <c r="C52" s="174" t="s">
        <v>1167</v>
      </c>
      <c r="D52" s="180">
        <f t="shared" si="8"/>
        <v>1524000</v>
      </c>
      <c r="E52" s="178">
        <v>0</v>
      </c>
      <c r="F52" s="178">
        <v>0</v>
      </c>
      <c r="G52" s="178">
        <v>0</v>
      </c>
      <c r="H52" s="178">
        <v>0</v>
      </c>
      <c r="I52" s="178">
        <v>0</v>
      </c>
      <c r="J52" s="178">
        <v>0</v>
      </c>
      <c r="K52" s="178">
        <v>1524000</v>
      </c>
      <c r="L52" s="178">
        <v>0</v>
      </c>
      <c r="M52" s="180">
        <f t="shared" si="9"/>
        <v>1524000</v>
      </c>
      <c r="N52" s="178">
        <v>0</v>
      </c>
      <c r="O52" s="178">
        <v>0</v>
      </c>
      <c r="P52" s="178">
        <v>0</v>
      </c>
      <c r="Q52" s="178">
        <v>0</v>
      </c>
      <c r="R52" s="178">
        <v>0</v>
      </c>
      <c r="S52" s="178">
        <v>0</v>
      </c>
      <c r="T52" s="178">
        <v>1524000</v>
      </c>
      <c r="U52" s="178">
        <v>0</v>
      </c>
      <c r="V52" s="292">
        <v>52625</v>
      </c>
    </row>
    <row r="53" spans="1:22" s="159" customFormat="1" ht="18">
      <c r="A53" s="170"/>
      <c r="B53" s="170" t="s">
        <v>1165</v>
      </c>
      <c r="C53" s="174" t="s">
        <v>1169</v>
      </c>
      <c r="D53" s="180">
        <f t="shared" si="8"/>
        <v>5080000</v>
      </c>
      <c r="E53" s="178">
        <v>0</v>
      </c>
      <c r="F53" s="178">
        <v>0</v>
      </c>
      <c r="G53" s="178">
        <v>0</v>
      </c>
      <c r="H53" s="178">
        <v>0</v>
      </c>
      <c r="I53" s="178">
        <v>0</v>
      </c>
      <c r="J53" s="178">
        <v>5080000</v>
      </c>
      <c r="K53" s="178">
        <v>0</v>
      </c>
      <c r="L53" s="178">
        <v>0</v>
      </c>
      <c r="M53" s="180">
        <f t="shared" si="9"/>
        <v>5080000</v>
      </c>
      <c r="N53" s="178">
        <v>0</v>
      </c>
      <c r="O53" s="178">
        <v>0</v>
      </c>
      <c r="P53" s="178">
        <v>0</v>
      </c>
      <c r="Q53" s="178">
        <v>0</v>
      </c>
      <c r="R53" s="178">
        <v>0</v>
      </c>
      <c r="S53" s="178">
        <v>5080000</v>
      </c>
      <c r="T53" s="178">
        <v>0</v>
      </c>
      <c r="U53" s="178">
        <v>0</v>
      </c>
      <c r="V53" s="292">
        <v>52626</v>
      </c>
    </row>
    <row r="54" spans="1:22" s="159" customFormat="1" ht="18">
      <c r="A54" s="170"/>
      <c r="B54" s="170" t="s">
        <v>1166</v>
      </c>
      <c r="C54" s="195" t="s">
        <v>1171</v>
      </c>
      <c r="D54" s="180">
        <f t="shared" si="8"/>
        <v>1778000</v>
      </c>
      <c r="E54" s="178">
        <v>0</v>
      </c>
      <c r="F54" s="178">
        <v>0</v>
      </c>
      <c r="G54" s="178">
        <v>0</v>
      </c>
      <c r="H54" s="178">
        <v>0</v>
      </c>
      <c r="I54" s="178">
        <v>0</v>
      </c>
      <c r="J54" s="178">
        <v>1778000</v>
      </c>
      <c r="K54" s="178">
        <v>0</v>
      </c>
      <c r="L54" s="178">
        <v>0</v>
      </c>
      <c r="M54" s="180">
        <f t="shared" si="9"/>
        <v>1778000</v>
      </c>
      <c r="N54" s="178">
        <v>0</v>
      </c>
      <c r="O54" s="178">
        <v>0</v>
      </c>
      <c r="P54" s="178">
        <v>0</v>
      </c>
      <c r="Q54" s="178">
        <v>0</v>
      </c>
      <c r="R54" s="178">
        <v>0</v>
      </c>
      <c r="S54" s="178">
        <v>1778000</v>
      </c>
      <c r="T54" s="178">
        <v>0</v>
      </c>
      <c r="U54" s="178">
        <v>0</v>
      </c>
      <c r="V54" s="292">
        <v>52627</v>
      </c>
    </row>
    <row r="55" spans="1:22" s="159" customFormat="1" ht="18">
      <c r="A55" s="170"/>
      <c r="B55" s="170" t="s">
        <v>1168</v>
      </c>
      <c r="C55" s="174" t="s">
        <v>1232</v>
      </c>
      <c r="D55" s="180">
        <f t="shared" si="8"/>
        <v>10160000</v>
      </c>
      <c r="E55" s="178">
        <v>0</v>
      </c>
      <c r="F55" s="178">
        <v>0</v>
      </c>
      <c r="G55" s="178">
        <v>0</v>
      </c>
      <c r="H55" s="178">
        <v>0</v>
      </c>
      <c r="I55" s="178">
        <v>0</v>
      </c>
      <c r="J55" s="178">
        <v>10160000</v>
      </c>
      <c r="K55" s="178">
        <v>0</v>
      </c>
      <c r="L55" s="178">
        <v>0</v>
      </c>
      <c r="M55" s="180">
        <f t="shared" si="9"/>
        <v>10160000</v>
      </c>
      <c r="N55" s="178">
        <v>0</v>
      </c>
      <c r="O55" s="178">
        <v>0</v>
      </c>
      <c r="P55" s="178">
        <v>0</v>
      </c>
      <c r="Q55" s="178">
        <v>0</v>
      </c>
      <c r="R55" s="178">
        <v>0</v>
      </c>
      <c r="S55" s="178">
        <v>10160000</v>
      </c>
      <c r="T55" s="178">
        <v>0</v>
      </c>
      <c r="U55" s="178">
        <v>0</v>
      </c>
      <c r="V55" s="292">
        <v>52628</v>
      </c>
    </row>
    <row r="56" spans="1:22" ht="18">
      <c r="A56" s="161" t="s">
        <v>59</v>
      </c>
      <c r="B56" s="161"/>
      <c r="C56" s="162" t="s">
        <v>44</v>
      </c>
      <c r="D56" s="163">
        <f>SUM(E56:L56)</f>
        <v>0</v>
      </c>
      <c r="E56" s="164">
        <f aca="true" t="shared" si="10" ref="E56:U56">SUM(E57)</f>
        <v>0</v>
      </c>
      <c r="F56" s="164">
        <f t="shared" si="10"/>
        <v>0</v>
      </c>
      <c r="G56" s="164">
        <f t="shared" si="10"/>
        <v>0</v>
      </c>
      <c r="H56" s="164">
        <f t="shared" si="10"/>
        <v>0</v>
      </c>
      <c r="I56" s="164">
        <f t="shared" si="10"/>
        <v>0</v>
      </c>
      <c r="J56" s="164">
        <f t="shared" si="10"/>
        <v>0</v>
      </c>
      <c r="K56" s="164">
        <f t="shared" si="10"/>
        <v>0</v>
      </c>
      <c r="L56" s="164">
        <f t="shared" si="10"/>
        <v>0</v>
      </c>
      <c r="M56" s="163">
        <f>SUM(N56:U56)</f>
        <v>0</v>
      </c>
      <c r="N56" s="164">
        <f t="shared" si="10"/>
        <v>0</v>
      </c>
      <c r="O56" s="164">
        <f t="shared" si="10"/>
        <v>0</v>
      </c>
      <c r="P56" s="164">
        <f t="shared" si="10"/>
        <v>0</v>
      </c>
      <c r="Q56" s="164">
        <f t="shared" si="10"/>
        <v>0</v>
      </c>
      <c r="R56" s="164">
        <f t="shared" si="10"/>
        <v>0</v>
      </c>
      <c r="S56" s="164">
        <f t="shared" si="10"/>
        <v>0</v>
      </c>
      <c r="T56" s="164">
        <f t="shared" si="10"/>
        <v>0</v>
      </c>
      <c r="U56" s="164">
        <f t="shared" si="10"/>
        <v>0</v>
      </c>
      <c r="V56" s="292">
        <v>52701</v>
      </c>
    </row>
    <row r="57" spans="1:22" s="159" customFormat="1" ht="18">
      <c r="A57" s="170"/>
      <c r="B57" s="170" t="s">
        <v>351</v>
      </c>
      <c r="C57" s="160"/>
      <c r="D57" s="177">
        <f>SUM(E57:L57)</f>
        <v>0</v>
      </c>
      <c r="E57" s="178">
        <v>0</v>
      </c>
      <c r="F57" s="178">
        <v>0</v>
      </c>
      <c r="G57" s="178">
        <v>0</v>
      </c>
      <c r="H57" s="178">
        <v>0</v>
      </c>
      <c r="I57" s="178">
        <v>0</v>
      </c>
      <c r="J57" s="178">
        <v>0</v>
      </c>
      <c r="K57" s="178">
        <v>0</v>
      </c>
      <c r="L57" s="181">
        <v>0</v>
      </c>
      <c r="M57" s="177">
        <f>SUM(N57:U57)</f>
        <v>0</v>
      </c>
      <c r="N57" s="178">
        <v>0</v>
      </c>
      <c r="O57" s="178">
        <v>0</v>
      </c>
      <c r="P57" s="178">
        <v>0</v>
      </c>
      <c r="Q57" s="178">
        <v>0</v>
      </c>
      <c r="R57" s="178">
        <v>0</v>
      </c>
      <c r="S57" s="178">
        <v>0</v>
      </c>
      <c r="T57" s="178">
        <v>0</v>
      </c>
      <c r="U57" s="181">
        <v>0</v>
      </c>
      <c r="V57" s="232"/>
    </row>
    <row r="58" spans="1:22" ht="32.25" customHeight="1">
      <c r="A58" s="407" t="s">
        <v>315</v>
      </c>
      <c r="B58" s="407"/>
      <c r="C58" s="407"/>
      <c r="D58" s="163">
        <f>SUM(E58:L58)</f>
        <v>1610221113</v>
      </c>
      <c r="E58" s="164">
        <f aca="true" t="shared" si="11" ref="E58:L58">E10+E25+E56</f>
        <v>0</v>
      </c>
      <c r="F58" s="164">
        <f t="shared" si="11"/>
        <v>0</v>
      </c>
      <c r="G58" s="164">
        <f t="shared" si="11"/>
        <v>1394091968</v>
      </c>
      <c r="H58" s="164">
        <f t="shared" si="11"/>
        <v>0</v>
      </c>
      <c r="I58" s="164">
        <f t="shared" si="11"/>
        <v>99450000</v>
      </c>
      <c r="J58" s="164">
        <f t="shared" si="11"/>
        <v>115155145</v>
      </c>
      <c r="K58" s="164">
        <f t="shared" si="11"/>
        <v>1524000</v>
      </c>
      <c r="L58" s="164">
        <f t="shared" si="11"/>
        <v>0</v>
      </c>
      <c r="M58" s="163">
        <f>SUM(N58:U58)</f>
        <v>1610221113</v>
      </c>
      <c r="N58" s="164">
        <f aca="true" t="shared" si="12" ref="N58:U58">N10+N25+N56</f>
        <v>0</v>
      </c>
      <c r="O58" s="164">
        <f t="shared" si="12"/>
        <v>0</v>
      </c>
      <c r="P58" s="164">
        <f t="shared" si="12"/>
        <v>1394091968</v>
      </c>
      <c r="Q58" s="164">
        <f t="shared" si="12"/>
        <v>0</v>
      </c>
      <c r="R58" s="164">
        <f t="shared" si="12"/>
        <v>99450000</v>
      </c>
      <c r="S58" s="164">
        <f t="shared" si="12"/>
        <v>115155145</v>
      </c>
      <c r="T58" s="164">
        <f t="shared" si="12"/>
        <v>1524000</v>
      </c>
      <c r="U58" s="164">
        <f t="shared" si="12"/>
        <v>0</v>
      </c>
      <c r="V58" s="319"/>
    </row>
    <row r="59" s="152" customFormat="1" ht="12.75"/>
    <row r="60" s="152" customFormat="1" ht="12.75"/>
    <row r="61" s="152" customFormat="1" ht="12.75"/>
    <row r="62" s="152" customFormat="1" ht="12.75"/>
    <row r="63" s="152" customFormat="1" ht="12.75"/>
    <row r="64" s="152" customFormat="1" ht="12.75"/>
    <row r="65" s="152" customFormat="1" ht="12.75"/>
    <row r="66" s="152" customFormat="1" ht="12.75"/>
    <row r="67" s="152" customFormat="1" ht="12.75"/>
    <row r="68" s="152" customFormat="1" ht="12.75"/>
    <row r="69" s="152" customFormat="1" ht="12.75"/>
    <row r="70" s="152" customFormat="1" ht="12.75"/>
    <row r="71" s="152" customFormat="1" ht="12.75"/>
    <row r="72" s="152" customFormat="1" ht="12.75"/>
    <row r="73" s="152" customFormat="1" ht="12.75"/>
    <row r="74" s="152" customFormat="1" ht="12.75"/>
  </sheetData>
  <sheetProtection selectLockedCells="1" selectUnlockedCells="1"/>
  <mergeCells count="17">
    <mergeCell ref="S8:U8"/>
    <mergeCell ref="A58:C58"/>
    <mergeCell ref="C7:C9"/>
    <mergeCell ref="D7:D9"/>
    <mergeCell ref="E7:L7"/>
    <mergeCell ref="E8:I8"/>
    <mergeCell ref="J8:L8"/>
    <mergeCell ref="A1:V1"/>
    <mergeCell ref="A3:V3"/>
    <mergeCell ref="A4:V4"/>
    <mergeCell ref="V7:V10"/>
    <mergeCell ref="M7:M9"/>
    <mergeCell ref="N7:U7"/>
    <mergeCell ref="N8:R8"/>
    <mergeCell ref="A7:A9"/>
    <mergeCell ref="A2:V2"/>
    <mergeCell ref="B7:B9"/>
  </mergeCells>
  <printOptions horizontalCentered="1" verticalCentered="1"/>
  <pageMargins left="0.5118110236220472" right="0.5118110236220472" top="0.7480314960629921" bottom="0.7480314960629921" header="0.5118110236220472" footer="0.5118110236220472"/>
  <pageSetup fitToHeight="1" fitToWidth="1" horizontalDpi="300" verticalDpi="300" orientation="landscape" paperSize="8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Y187"/>
  <sheetViews>
    <sheetView view="pageBreakPreview" zoomScale="50" zoomScaleNormal="46" zoomScaleSheetLayoutView="50" zoomScalePageLayoutView="0" workbookViewId="0" topLeftCell="A1">
      <pane xSplit="1" topLeftCell="G1" activePane="topRight" state="frozen"/>
      <selection pane="topLeft" activeCell="A8" sqref="A8"/>
      <selection pane="topRight" activeCell="A1" sqref="A1:W1"/>
    </sheetView>
  </sheetViews>
  <sheetFormatPr defaultColWidth="9.140625" defaultRowHeight="12.75"/>
  <cols>
    <col min="1" max="1" width="7.28125" style="95" customWidth="1"/>
    <col min="2" max="2" width="17.00390625" style="95" customWidth="1"/>
    <col min="3" max="3" width="4.57421875" style="95" customWidth="1"/>
    <col min="4" max="4" width="80.28125" style="96" customWidth="1"/>
    <col min="5" max="5" width="28.28125" style="95" customWidth="1"/>
    <col min="6" max="6" width="17.7109375" style="95" customWidth="1"/>
    <col min="7" max="7" width="23.28125" style="95" customWidth="1"/>
    <col min="8" max="8" width="26.421875" style="95" customWidth="1"/>
    <col min="9" max="9" width="19.00390625" style="95" customWidth="1"/>
    <col min="10" max="10" width="22.7109375" style="95" customWidth="1"/>
    <col min="11" max="11" width="28.421875" style="95" customWidth="1"/>
    <col min="12" max="12" width="24.421875" style="95" customWidth="1"/>
    <col min="13" max="13" width="29.421875" style="95" customWidth="1"/>
    <col min="14" max="14" width="39.7109375" style="95" customWidth="1"/>
    <col min="15" max="15" width="17.7109375" style="95" customWidth="1"/>
    <col min="16" max="16" width="23.28125" style="95" customWidth="1"/>
    <col min="17" max="17" width="26.421875" style="95" customWidth="1"/>
    <col min="18" max="18" width="19.00390625" style="95" customWidth="1"/>
    <col min="19" max="19" width="22.7109375" style="95" customWidth="1"/>
    <col min="20" max="20" width="28.421875" style="95" customWidth="1"/>
    <col min="21" max="21" width="24.421875" style="95" customWidth="1"/>
    <col min="22" max="22" width="29.421875" style="95" customWidth="1"/>
    <col min="23" max="23" width="41.00390625" style="211" customWidth="1"/>
    <col min="24" max="24" width="31.140625" style="211" customWidth="1"/>
    <col min="25" max="25" width="38.28125" style="211" customWidth="1"/>
    <col min="26" max="16384" width="9.140625" style="95" customWidth="1"/>
  </cols>
  <sheetData>
    <row r="1" spans="1:23" ht="20.25">
      <c r="A1" s="414" t="s">
        <v>1557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</row>
    <row r="2" spans="1:23" ht="23.25" customHeight="1">
      <c r="A2" s="413" t="s">
        <v>1531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</row>
    <row r="3" spans="1:23" ht="18" customHeight="1">
      <c r="A3" s="369" t="s">
        <v>352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</row>
    <row r="4" spans="1:23" ht="20.25">
      <c r="A4" s="370" t="s">
        <v>353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</row>
    <row r="5" spans="1:23" ht="23.25">
      <c r="A5" s="97"/>
      <c r="B5" s="97"/>
      <c r="C5" s="97"/>
      <c r="D5" s="98"/>
      <c r="E5" s="97"/>
      <c r="F5" s="97"/>
      <c r="G5" s="97"/>
      <c r="H5" s="97"/>
      <c r="I5" s="97"/>
      <c r="J5" s="97"/>
      <c r="K5" s="97"/>
      <c r="L5" s="97"/>
      <c r="M5" s="187"/>
      <c r="N5" s="97"/>
      <c r="O5" s="97"/>
      <c r="P5" s="97"/>
      <c r="Q5" s="97"/>
      <c r="R5" s="97"/>
      <c r="S5" s="97"/>
      <c r="T5" s="97"/>
      <c r="U5" s="97"/>
      <c r="V5" s="187"/>
      <c r="W5" s="291" t="s">
        <v>1</v>
      </c>
    </row>
    <row r="6" spans="1:23" ht="23.25" customHeight="1">
      <c r="A6" s="99" t="s">
        <v>2</v>
      </c>
      <c r="B6" s="99" t="s">
        <v>3</v>
      </c>
      <c r="C6" s="99" t="s">
        <v>4</v>
      </c>
      <c r="D6" s="100" t="s">
        <v>5</v>
      </c>
      <c r="E6" s="99" t="s">
        <v>6</v>
      </c>
      <c r="F6" s="99" t="s">
        <v>7</v>
      </c>
      <c r="G6" s="99" t="s">
        <v>8</v>
      </c>
      <c r="H6" s="99" t="s">
        <v>9</v>
      </c>
      <c r="I6" s="99" t="s">
        <v>10</v>
      </c>
      <c r="J6" s="101" t="s">
        <v>11</v>
      </c>
      <c r="K6" s="99" t="s">
        <v>12</v>
      </c>
      <c r="L6" s="205" t="s">
        <v>13</v>
      </c>
      <c r="M6" s="206" t="s">
        <v>14</v>
      </c>
      <c r="N6" s="99" t="s">
        <v>15</v>
      </c>
      <c r="O6" s="99" t="s">
        <v>16</v>
      </c>
      <c r="P6" s="99" t="s">
        <v>17</v>
      </c>
      <c r="Q6" s="99" t="s">
        <v>18</v>
      </c>
      <c r="R6" s="99" t="s">
        <v>19</v>
      </c>
      <c r="S6" s="101" t="s">
        <v>20</v>
      </c>
      <c r="T6" s="99" t="s">
        <v>21</v>
      </c>
      <c r="U6" s="205" t="s">
        <v>22</v>
      </c>
      <c r="V6" s="206" t="s">
        <v>181</v>
      </c>
      <c r="W6" s="206" t="s">
        <v>182</v>
      </c>
    </row>
    <row r="7" spans="1:23" ht="27.75" customHeight="1">
      <c r="A7" s="410" t="s">
        <v>24</v>
      </c>
      <c r="B7" s="410" t="s">
        <v>185</v>
      </c>
      <c r="C7" s="410" t="s">
        <v>354</v>
      </c>
      <c r="D7" s="421" t="s">
        <v>25</v>
      </c>
      <c r="E7" s="420" t="s">
        <v>1099</v>
      </c>
      <c r="F7" s="418" t="s">
        <v>26</v>
      </c>
      <c r="G7" s="418"/>
      <c r="H7" s="418"/>
      <c r="I7" s="418"/>
      <c r="J7" s="418"/>
      <c r="K7" s="418"/>
      <c r="L7" s="418"/>
      <c r="M7" s="419"/>
      <c r="N7" s="420" t="s">
        <v>1526</v>
      </c>
      <c r="O7" s="418" t="s">
        <v>1525</v>
      </c>
      <c r="P7" s="418"/>
      <c r="Q7" s="418"/>
      <c r="R7" s="418"/>
      <c r="S7" s="418"/>
      <c r="T7" s="418"/>
      <c r="U7" s="418"/>
      <c r="V7" s="419"/>
      <c r="W7" s="415" t="s">
        <v>1520</v>
      </c>
    </row>
    <row r="8" spans="1:23" ht="27.75" customHeight="1">
      <c r="A8" s="410"/>
      <c r="B8" s="410"/>
      <c r="C8" s="410"/>
      <c r="D8" s="421"/>
      <c r="E8" s="420"/>
      <c r="F8" s="408" t="s">
        <v>27</v>
      </c>
      <c r="G8" s="408"/>
      <c r="H8" s="408"/>
      <c r="I8" s="408"/>
      <c r="J8" s="408"/>
      <c r="K8" s="408" t="s">
        <v>28</v>
      </c>
      <c r="L8" s="408"/>
      <c r="M8" s="408"/>
      <c r="N8" s="420"/>
      <c r="O8" s="408" t="s">
        <v>27</v>
      </c>
      <c r="P8" s="408"/>
      <c r="Q8" s="408"/>
      <c r="R8" s="408"/>
      <c r="S8" s="408"/>
      <c r="T8" s="408" t="s">
        <v>28</v>
      </c>
      <c r="U8" s="408"/>
      <c r="V8" s="408"/>
      <c r="W8" s="416"/>
    </row>
    <row r="9" spans="1:23" ht="141.75">
      <c r="A9" s="410"/>
      <c r="B9" s="410"/>
      <c r="C9" s="410"/>
      <c r="D9" s="421"/>
      <c r="E9" s="420"/>
      <c r="F9" s="102" t="s">
        <v>29</v>
      </c>
      <c r="G9" s="102" t="s">
        <v>30</v>
      </c>
      <c r="H9" s="102" t="s">
        <v>31</v>
      </c>
      <c r="I9" s="102" t="s">
        <v>32</v>
      </c>
      <c r="J9" s="102" t="s">
        <v>33</v>
      </c>
      <c r="K9" s="102" t="s">
        <v>34</v>
      </c>
      <c r="L9" s="102" t="s">
        <v>35</v>
      </c>
      <c r="M9" s="102" t="s">
        <v>36</v>
      </c>
      <c r="N9" s="420"/>
      <c r="O9" s="102" t="s">
        <v>29</v>
      </c>
      <c r="P9" s="102" t="s">
        <v>30</v>
      </c>
      <c r="Q9" s="102" t="s">
        <v>31</v>
      </c>
      <c r="R9" s="102" t="s">
        <v>32</v>
      </c>
      <c r="S9" s="102" t="s">
        <v>33</v>
      </c>
      <c r="T9" s="102" t="s">
        <v>34</v>
      </c>
      <c r="U9" s="102" t="s">
        <v>35</v>
      </c>
      <c r="V9" s="102" t="s">
        <v>36</v>
      </c>
      <c r="W9" s="416"/>
    </row>
    <row r="10" spans="1:23" ht="23.25">
      <c r="A10" s="103" t="s">
        <v>62</v>
      </c>
      <c r="B10" s="103"/>
      <c r="C10" s="108"/>
      <c r="D10" s="331" t="s">
        <v>40</v>
      </c>
      <c r="E10" s="199">
        <f>SUM(F10:M10)</f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4">
        <v>0</v>
      </c>
      <c r="N10" s="199">
        <f>SUM(O10:V10)</f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4">
        <v>0</v>
      </c>
      <c r="W10" s="416"/>
    </row>
    <row r="11" spans="1:23" ht="23.25">
      <c r="A11" s="103" t="s">
        <v>63</v>
      </c>
      <c r="B11" s="166"/>
      <c r="C11" s="332"/>
      <c r="D11" s="331" t="s">
        <v>42</v>
      </c>
      <c r="E11" s="199">
        <f>SUM(F11:M11)</f>
        <v>85350686725.97</v>
      </c>
      <c r="F11" s="105">
        <f>SUM(F13:F164)</f>
        <v>0</v>
      </c>
      <c r="G11" s="105">
        <f aca="true" t="shared" si="0" ref="G11:M11">SUM(G13:G164)</f>
        <v>0</v>
      </c>
      <c r="H11" s="105">
        <f t="shared" si="0"/>
        <v>1534710415</v>
      </c>
      <c r="I11" s="105">
        <f t="shared" si="0"/>
        <v>0</v>
      </c>
      <c r="J11" s="105">
        <f t="shared" si="0"/>
        <v>0</v>
      </c>
      <c r="K11" s="105">
        <f t="shared" si="0"/>
        <v>77103700722.97</v>
      </c>
      <c r="L11" s="105">
        <f t="shared" si="0"/>
        <v>6712005588</v>
      </c>
      <c r="M11" s="105">
        <f t="shared" si="0"/>
        <v>270000</v>
      </c>
      <c r="N11" s="338">
        <f>SUM(O11:V11)</f>
        <v>85410686725.97</v>
      </c>
      <c r="O11" s="105">
        <f>SUM(O13:O164)</f>
        <v>0</v>
      </c>
      <c r="P11" s="105">
        <f aca="true" t="shared" si="1" ref="P11:V11">SUM(P13:P164)</f>
        <v>0</v>
      </c>
      <c r="Q11" s="105">
        <f t="shared" si="1"/>
        <v>1534710415</v>
      </c>
      <c r="R11" s="105">
        <f t="shared" si="1"/>
        <v>0</v>
      </c>
      <c r="S11" s="105">
        <f t="shared" si="1"/>
        <v>0</v>
      </c>
      <c r="T11" s="105">
        <f t="shared" si="1"/>
        <v>77103700722.97</v>
      </c>
      <c r="U11" s="105">
        <f t="shared" si="1"/>
        <v>6772005588</v>
      </c>
      <c r="V11" s="105">
        <f t="shared" si="1"/>
        <v>270000</v>
      </c>
      <c r="W11" s="417"/>
    </row>
    <row r="12" spans="1:23" ht="18.75" customHeight="1">
      <c r="A12" s="165"/>
      <c r="B12" s="409" t="s">
        <v>355</v>
      </c>
      <c r="C12" s="409"/>
      <c r="D12" s="409"/>
      <c r="E12" s="106"/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236">
        <v>0</v>
      </c>
      <c r="N12" s="339"/>
      <c r="O12" s="335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236">
        <v>0</v>
      </c>
      <c r="W12" s="238"/>
    </row>
    <row r="13" spans="1:25" ht="46.5">
      <c r="A13" s="108"/>
      <c r="B13" s="216" t="s">
        <v>954</v>
      </c>
      <c r="C13" s="216"/>
      <c r="D13" s="215" t="s">
        <v>356</v>
      </c>
      <c r="E13" s="106">
        <f>SUM(F13:M13)</f>
        <v>1758999645.17</v>
      </c>
      <c r="F13" s="110">
        <v>0</v>
      </c>
      <c r="G13" s="110">
        <v>0</v>
      </c>
      <c r="H13" s="110">
        <v>79739156</v>
      </c>
      <c r="I13" s="110">
        <v>0</v>
      </c>
      <c r="J13" s="110">
        <v>0</v>
      </c>
      <c r="K13" s="110">
        <v>1679260489.17</v>
      </c>
      <c r="L13" s="110">
        <v>0</v>
      </c>
      <c r="M13" s="236">
        <v>0</v>
      </c>
      <c r="N13" s="339">
        <f>SUM(O13:V13)</f>
        <v>1758999645.17</v>
      </c>
      <c r="O13" s="110">
        <v>0</v>
      </c>
      <c r="P13" s="110">
        <v>0</v>
      </c>
      <c r="Q13" s="110">
        <v>79739156</v>
      </c>
      <c r="R13" s="110">
        <v>0</v>
      </c>
      <c r="S13" s="110">
        <v>0</v>
      </c>
      <c r="T13" s="110">
        <v>1679260489.17</v>
      </c>
      <c r="U13" s="110">
        <v>0</v>
      </c>
      <c r="V13" s="236">
        <v>0</v>
      </c>
      <c r="W13" s="238" t="s">
        <v>1305</v>
      </c>
      <c r="X13" s="212"/>
      <c r="Y13" s="212"/>
    </row>
    <row r="14" spans="1:25" ht="18.75" customHeight="1">
      <c r="A14" s="165"/>
      <c r="B14" s="409" t="s">
        <v>848</v>
      </c>
      <c r="C14" s="409"/>
      <c r="D14" s="409"/>
      <c r="E14" s="106"/>
      <c r="F14" s="110">
        <v>0</v>
      </c>
      <c r="G14" s="110"/>
      <c r="H14" s="110"/>
      <c r="I14" s="110"/>
      <c r="J14" s="110"/>
      <c r="K14" s="110">
        <v>0</v>
      </c>
      <c r="L14" s="110">
        <v>0</v>
      </c>
      <c r="M14" s="236">
        <v>0</v>
      </c>
      <c r="N14" s="339"/>
      <c r="O14" s="110">
        <v>0</v>
      </c>
      <c r="P14" s="110"/>
      <c r="Q14" s="110"/>
      <c r="R14" s="110"/>
      <c r="S14" s="110"/>
      <c r="T14" s="110">
        <v>0</v>
      </c>
      <c r="U14" s="110">
        <v>0</v>
      </c>
      <c r="V14" s="236">
        <v>0</v>
      </c>
      <c r="W14" s="238"/>
      <c r="X14" s="212"/>
      <c r="Y14" s="212"/>
    </row>
    <row r="15" spans="1:25" s="111" customFormat="1" ht="46.5">
      <c r="A15" s="219"/>
      <c r="B15" s="216" t="s">
        <v>955</v>
      </c>
      <c r="C15" s="216"/>
      <c r="D15" s="215" t="s">
        <v>1211</v>
      </c>
      <c r="E15" s="106">
        <f>SUM(F15:M15)</f>
        <v>85381092</v>
      </c>
      <c r="F15" s="109">
        <v>0</v>
      </c>
      <c r="G15" s="109">
        <v>0</v>
      </c>
      <c r="H15" s="109">
        <v>17881092</v>
      </c>
      <c r="I15" s="109">
        <v>0</v>
      </c>
      <c r="J15" s="109">
        <v>0</v>
      </c>
      <c r="K15" s="110">
        <v>67500000</v>
      </c>
      <c r="L15" s="110">
        <v>0</v>
      </c>
      <c r="M15" s="236">
        <v>0</v>
      </c>
      <c r="N15" s="339">
        <f>SUM(O15:V15)</f>
        <v>85381092</v>
      </c>
      <c r="O15" s="109">
        <v>0</v>
      </c>
      <c r="P15" s="109">
        <v>0</v>
      </c>
      <c r="Q15" s="109">
        <v>17881092</v>
      </c>
      <c r="R15" s="109">
        <v>0</v>
      </c>
      <c r="S15" s="109">
        <v>0</v>
      </c>
      <c r="T15" s="110">
        <v>67500000</v>
      </c>
      <c r="U15" s="110">
        <v>0</v>
      </c>
      <c r="V15" s="236">
        <v>0</v>
      </c>
      <c r="W15" s="239">
        <v>542002</v>
      </c>
      <c r="X15" s="213"/>
      <c r="Y15" s="213"/>
    </row>
    <row r="16" spans="1:25" ht="18.75" customHeight="1">
      <c r="A16" s="165"/>
      <c r="B16" s="409" t="s">
        <v>357</v>
      </c>
      <c r="C16" s="409"/>
      <c r="D16" s="409"/>
      <c r="E16" s="106"/>
      <c r="F16" s="110"/>
      <c r="G16" s="110"/>
      <c r="H16" s="110"/>
      <c r="I16" s="110"/>
      <c r="J16" s="110"/>
      <c r="K16" s="110">
        <v>0</v>
      </c>
      <c r="L16" s="110">
        <v>0</v>
      </c>
      <c r="M16" s="236">
        <v>0</v>
      </c>
      <c r="N16" s="339"/>
      <c r="O16" s="110"/>
      <c r="P16" s="110"/>
      <c r="Q16" s="110"/>
      <c r="R16" s="110"/>
      <c r="S16" s="110"/>
      <c r="T16" s="110">
        <v>0</v>
      </c>
      <c r="U16" s="110">
        <v>0</v>
      </c>
      <c r="V16" s="236">
        <v>0</v>
      </c>
      <c r="W16" s="238"/>
      <c r="X16" s="212"/>
      <c r="Y16" s="212"/>
    </row>
    <row r="17" spans="1:25" s="111" customFormat="1" ht="46.5">
      <c r="A17" s="219"/>
      <c r="B17" s="221" t="s">
        <v>956</v>
      </c>
      <c r="C17" s="216"/>
      <c r="D17" s="215" t="s">
        <v>358</v>
      </c>
      <c r="E17" s="106">
        <f>SUM(F17:M17)</f>
        <v>499263</v>
      </c>
      <c r="F17" s="109">
        <v>0</v>
      </c>
      <c r="G17" s="109">
        <v>0</v>
      </c>
      <c r="H17" s="109">
        <v>499263</v>
      </c>
      <c r="I17" s="109">
        <v>0</v>
      </c>
      <c r="J17" s="109">
        <v>0</v>
      </c>
      <c r="K17" s="110">
        <v>0</v>
      </c>
      <c r="L17" s="110">
        <v>0</v>
      </c>
      <c r="M17" s="236">
        <v>0</v>
      </c>
      <c r="N17" s="339">
        <f>SUM(O17:V17)</f>
        <v>499263</v>
      </c>
      <c r="O17" s="109">
        <v>0</v>
      </c>
      <c r="P17" s="109">
        <v>0</v>
      </c>
      <c r="Q17" s="109">
        <v>499263</v>
      </c>
      <c r="R17" s="109">
        <v>0</v>
      </c>
      <c r="S17" s="109">
        <v>0</v>
      </c>
      <c r="T17" s="110">
        <v>0</v>
      </c>
      <c r="U17" s="110">
        <v>0</v>
      </c>
      <c r="V17" s="236">
        <v>0</v>
      </c>
      <c r="W17" s="239">
        <v>542003</v>
      </c>
      <c r="X17" s="213"/>
      <c r="Y17" s="213"/>
    </row>
    <row r="18" spans="1:25" ht="45" customHeight="1">
      <c r="A18" s="108"/>
      <c r="B18" s="409" t="s">
        <v>359</v>
      </c>
      <c r="C18" s="409"/>
      <c r="D18" s="409"/>
      <c r="E18" s="106">
        <f aca="true" t="shared" si="2" ref="E18:E29">SUM(F18:M18)</f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236">
        <v>0</v>
      </c>
      <c r="N18" s="339">
        <f aca="true" t="shared" si="3" ref="N18:N35">SUM(O18:V18)</f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236">
        <v>0</v>
      </c>
      <c r="W18" s="238"/>
      <c r="X18" s="212"/>
      <c r="Y18" s="212"/>
    </row>
    <row r="19" spans="1:25" ht="69.75">
      <c r="A19" s="108"/>
      <c r="B19" s="216" t="s">
        <v>957</v>
      </c>
      <c r="C19" s="216"/>
      <c r="D19" s="215" t="s">
        <v>360</v>
      </c>
      <c r="E19" s="106">
        <f t="shared" si="2"/>
        <v>1007266399.8</v>
      </c>
      <c r="F19" s="110">
        <v>0</v>
      </c>
      <c r="G19" s="110">
        <v>0</v>
      </c>
      <c r="H19" s="110">
        <v>10309962</v>
      </c>
      <c r="I19" s="110">
        <v>0</v>
      </c>
      <c r="J19" s="110">
        <v>0</v>
      </c>
      <c r="K19" s="110">
        <v>996956437.8</v>
      </c>
      <c r="L19" s="110">
        <v>0</v>
      </c>
      <c r="M19" s="236">
        <v>0</v>
      </c>
      <c r="N19" s="339">
        <f t="shared" si="3"/>
        <v>1007266399.8</v>
      </c>
      <c r="O19" s="110">
        <v>0</v>
      </c>
      <c r="P19" s="110">
        <v>0</v>
      </c>
      <c r="Q19" s="110">
        <v>10309962</v>
      </c>
      <c r="R19" s="110">
        <v>0</v>
      </c>
      <c r="S19" s="110">
        <v>0</v>
      </c>
      <c r="T19" s="110">
        <v>996956437.8</v>
      </c>
      <c r="U19" s="110">
        <v>0</v>
      </c>
      <c r="V19" s="236">
        <v>0</v>
      </c>
      <c r="W19" s="238">
        <v>542004</v>
      </c>
      <c r="X19" s="212"/>
      <c r="Y19" s="212"/>
    </row>
    <row r="20" spans="1:25" ht="45" customHeight="1">
      <c r="A20" s="108"/>
      <c r="B20" s="409" t="s">
        <v>849</v>
      </c>
      <c r="C20" s="409"/>
      <c r="D20" s="409"/>
      <c r="E20" s="106">
        <f t="shared" si="2"/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236">
        <v>0</v>
      </c>
      <c r="N20" s="339">
        <f t="shared" si="3"/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10">
        <v>0</v>
      </c>
      <c r="V20" s="236">
        <v>0</v>
      </c>
      <c r="W20" s="238"/>
      <c r="X20" s="212"/>
      <c r="Y20" s="212"/>
    </row>
    <row r="21" spans="1:25" ht="46.5">
      <c r="A21" s="108"/>
      <c r="B21" s="221" t="s">
        <v>958</v>
      </c>
      <c r="C21" s="221"/>
      <c r="D21" s="215" t="s">
        <v>810</v>
      </c>
      <c r="E21" s="106">
        <f t="shared" si="2"/>
        <v>107120727</v>
      </c>
      <c r="F21" s="110">
        <v>0</v>
      </c>
      <c r="G21" s="110">
        <v>0</v>
      </c>
      <c r="H21" s="110">
        <v>6867201</v>
      </c>
      <c r="I21" s="110">
        <v>0</v>
      </c>
      <c r="J21" s="110">
        <v>0</v>
      </c>
      <c r="K21" s="110">
        <v>100253526</v>
      </c>
      <c r="L21" s="110">
        <v>0</v>
      </c>
      <c r="M21" s="236">
        <v>0</v>
      </c>
      <c r="N21" s="339">
        <f t="shared" si="3"/>
        <v>107120727</v>
      </c>
      <c r="O21" s="110">
        <v>0</v>
      </c>
      <c r="P21" s="110">
        <v>0</v>
      </c>
      <c r="Q21" s="110">
        <v>6867201</v>
      </c>
      <c r="R21" s="110">
        <v>0</v>
      </c>
      <c r="S21" s="110">
        <v>0</v>
      </c>
      <c r="T21" s="110">
        <v>100253526</v>
      </c>
      <c r="U21" s="110">
        <v>0</v>
      </c>
      <c r="V21" s="236">
        <v>0</v>
      </c>
      <c r="W21" s="238">
        <v>542005</v>
      </c>
      <c r="X21" s="212"/>
      <c r="Y21" s="212"/>
    </row>
    <row r="22" spans="1:25" ht="46.5">
      <c r="A22" s="108"/>
      <c r="B22" s="221" t="s">
        <v>959</v>
      </c>
      <c r="C22" s="216"/>
      <c r="D22" s="215" t="s">
        <v>809</v>
      </c>
      <c r="E22" s="106">
        <f t="shared" si="2"/>
        <v>926870982</v>
      </c>
      <c r="F22" s="110">
        <v>0</v>
      </c>
      <c r="G22" s="110">
        <v>0</v>
      </c>
      <c r="H22" s="110">
        <v>13325094</v>
      </c>
      <c r="I22" s="110">
        <v>0</v>
      </c>
      <c r="J22" s="110">
        <v>0</v>
      </c>
      <c r="K22" s="110">
        <v>913545888</v>
      </c>
      <c r="L22" s="110">
        <v>0</v>
      </c>
      <c r="M22" s="236">
        <v>0</v>
      </c>
      <c r="N22" s="339">
        <f t="shared" si="3"/>
        <v>926870982</v>
      </c>
      <c r="O22" s="110">
        <v>0</v>
      </c>
      <c r="P22" s="110">
        <v>0</v>
      </c>
      <c r="Q22" s="110">
        <v>13325094</v>
      </c>
      <c r="R22" s="110">
        <v>0</v>
      </c>
      <c r="S22" s="110">
        <v>0</v>
      </c>
      <c r="T22" s="110">
        <v>913545888</v>
      </c>
      <c r="U22" s="110">
        <v>0</v>
      </c>
      <c r="V22" s="236">
        <v>0</v>
      </c>
      <c r="W22" s="238">
        <v>542006</v>
      </c>
      <c r="X22" s="212"/>
      <c r="Y22" s="212"/>
    </row>
    <row r="23" spans="1:25" ht="46.5">
      <c r="A23" s="219"/>
      <c r="B23" s="221" t="s">
        <v>960</v>
      </c>
      <c r="C23" s="216"/>
      <c r="D23" s="215" t="s">
        <v>797</v>
      </c>
      <c r="E23" s="106">
        <f t="shared" si="2"/>
        <v>217541096</v>
      </c>
      <c r="F23" s="109">
        <v>0</v>
      </c>
      <c r="G23" s="109">
        <v>0</v>
      </c>
      <c r="H23" s="109">
        <v>3329940</v>
      </c>
      <c r="I23" s="109">
        <v>0</v>
      </c>
      <c r="J23" s="109">
        <v>0</v>
      </c>
      <c r="K23" s="110">
        <v>214211156</v>
      </c>
      <c r="L23" s="110">
        <v>0</v>
      </c>
      <c r="M23" s="236">
        <v>0</v>
      </c>
      <c r="N23" s="339">
        <f t="shared" si="3"/>
        <v>217541096</v>
      </c>
      <c r="O23" s="109">
        <v>0</v>
      </c>
      <c r="P23" s="109">
        <v>0</v>
      </c>
      <c r="Q23" s="109">
        <v>3329940</v>
      </c>
      <c r="R23" s="109">
        <v>0</v>
      </c>
      <c r="S23" s="109">
        <v>0</v>
      </c>
      <c r="T23" s="110">
        <v>214211156</v>
      </c>
      <c r="U23" s="110">
        <v>0</v>
      </c>
      <c r="V23" s="236">
        <v>0</v>
      </c>
      <c r="W23" s="238">
        <v>542007</v>
      </c>
      <c r="X23" s="212"/>
      <c r="Y23" s="212"/>
    </row>
    <row r="24" spans="1:25" ht="46.5">
      <c r="A24" s="108"/>
      <c r="B24" s="221" t="s">
        <v>961</v>
      </c>
      <c r="C24" s="216"/>
      <c r="D24" s="215" t="s">
        <v>1212</v>
      </c>
      <c r="E24" s="106">
        <f t="shared" si="2"/>
        <v>580269551</v>
      </c>
      <c r="F24" s="110">
        <v>0</v>
      </c>
      <c r="G24" s="110">
        <v>0</v>
      </c>
      <c r="H24" s="110">
        <v>6908292</v>
      </c>
      <c r="I24" s="110">
        <v>0</v>
      </c>
      <c r="J24" s="110">
        <v>0</v>
      </c>
      <c r="K24" s="110">
        <v>573361259</v>
      </c>
      <c r="L24" s="110">
        <v>0</v>
      </c>
      <c r="M24" s="236">
        <v>0</v>
      </c>
      <c r="N24" s="339">
        <f t="shared" si="3"/>
        <v>580269551</v>
      </c>
      <c r="O24" s="110">
        <v>0</v>
      </c>
      <c r="P24" s="110">
        <v>0</v>
      </c>
      <c r="Q24" s="110">
        <v>6908292</v>
      </c>
      <c r="R24" s="110">
        <v>0</v>
      </c>
      <c r="S24" s="110">
        <v>0</v>
      </c>
      <c r="T24" s="110">
        <v>573361259</v>
      </c>
      <c r="U24" s="110">
        <v>0</v>
      </c>
      <c r="V24" s="236">
        <v>0</v>
      </c>
      <c r="W24" s="238">
        <v>542008</v>
      </c>
      <c r="X24" s="212"/>
      <c r="Y24" s="212"/>
    </row>
    <row r="25" spans="1:25" ht="46.5">
      <c r="A25" s="108"/>
      <c r="B25" s="221" t="s">
        <v>962</v>
      </c>
      <c r="C25" s="216"/>
      <c r="D25" s="215" t="s">
        <v>796</v>
      </c>
      <c r="E25" s="106">
        <f t="shared" si="2"/>
        <v>1076697242</v>
      </c>
      <c r="F25" s="110">
        <v>0</v>
      </c>
      <c r="G25" s="110">
        <v>0</v>
      </c>
      <c r="H25" s="110">
        <v>244534071</v>
      </c>
      <c r="I25" s="110">
        <v>0</v>
      </c>
      <c r="J25" s="110">
        <v>0</v>
      </c>
      <c r="K25" s="110">
        <v>832163171</v>
      </c>
      <c r="L25" s="110">
        <v>0</v>
      </c>
      <c r="M25" s="236">
        <v>0</v>
      </c>
      <c r="N25" s="339">
        <f t="shared" si="3"/>
        <v>1076697242</v>
      </c>
      <c r="O25" s="110">
        <v>0</v>
      </c>
      <c r="P25" s="110">
        <v>0</v>
      </c>
      <c r="Q25" s="110">
        <v>244534071</v>
      </c>
      <c r="R25" s="110">
        <v>0</v>
      </c>
      <c r="S25" s="110">
        <v>0</v>
      </c>
      <c r="T25" s="110">
        <v>832163171</v>
      </c>
      <c r="U25" s="110">
        <v>0</v>
      </c>
      <c r="V25" s="236">
        <v>0</v>
      </c>
      <c r="W25" s="238">
        <v>542009</v>
      </c>
      <c r="X25" s="212"/>
      <c r="Y25" s="212"/>
    </row>
    <row r="26" spans="1:25" ht="52.5" customHeight="1">
      <c r="A26" s="108"/>
      <c r="B26" s="409" t="s">
        <v>1221</v>
      </c>
      <c r="C26" s="409"/>
      <c r="D26" s="409"/>
      <c r="E26" s="106">
        <f t="shared" si="2"/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236">
        <v>0</v>
      </c>
      <c r="N26" s="339">
        <f t="shared" si="3"/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236">
        <v>0</v>
      </c>
      <c r="W26" s="238"/>
      <c r="X26" s="212"/>
      <c r="Y26" s="212"/>
    </row>
    <row r="27" spans="1:25" ht="46.5">
      <c r="A27" s="108"/>
      <c r="B27" s="216" t="s">
        <v>963</v>
      </c>
      <c r="C27" s="216"/>
      <c r="D27" s="215" t="s">
        <v>361</v>
      </c>
      <c r="E27" s="106">
        <f t="shared" si="2"/>
        <v>414985</v>
      </c>
      <c r="F27" s="110">
        <v>0</v>
      </c>
      <c r="G27" s="110">
        <v>0</v>
      </c>
      <c r="H27" s="110">
        <v>414985</v>
      </c>
      <c r="I27" s="110">
        <v>0</v>
      </c>
      <c r="J27" s="110">
        <v>0</v>
      </c>
      <c r="K27" s="110">
        <v>0</v>
      </c>
      <c r="L27" s="110">
        <v>0</v>
      </c>
      <c r="M27" s="236">
        <v>0</v>
      </c>
      <c r="N27" s="339">
        <f t="shared" si="3"/>
        <v>414985</v>
      </c>
      <c r="O27" s="110">
        <v>0</v>
      </c>
      <c r="P27" s="110">
        <v>0</v>
      </c>
      <c r="Q27" s="110">
        <v>414985</v>
      </c>
      <c r="R27" s="110">
        <v>0</v>
      </c>
      <c r="S27" s="110">
        <v>0</v>
      </c>
      <c r="T27" s="110">
        <v>0</v>
      </c>
      <c r="U27" s="110">
        <v>0</v>
      </c>
      <c r="V27" s="236">
        <v>0</v>
      </c>
      <c r="W27" s="238">
        <v>542010</v>
      </c>
      <c r="X27" s="212"/>
      <c r="Y27" s="212"/>
    </row>
    <row r="28" spans="1:25" ht="46.5">
      <c r="A28" s="108"/>
      <c r="B28" s="216" t="s">
        <v>964</v>
      </c>
      <c r="C28" s="216"/>
      <c r="D28" s="215" t="s">
        <v>362</v>
      </c>
      <c r="E28" s="106">
        <f t="shared" si="2"/>
        <v>96780609</v>
      </c>
      <c r="F28" s="110">
        <v>0</v>
      </c>
      <c r="G28" s="110">
        <v>0</v>
      </c>
      <c r="H28" s="110">
        <v>8504472</v>
      </c>
      <c r="I28" s="110">
        <v>0</v>
      </c>
      <c r="J28" s="110">
        <v>0</v>
      </c>
      <c r="K28" s="110">
        <v>51448572</v>
      </c>
      <c r="L28" s="110">
        <v>36827565</v>
      </c>
      <c r="M28" s="236">
        <v>0</v>
      </c>
      <c r="N28" s="339">
        <f t="shared" si="3"/>
        <v>96780609</v>
      </c>
      <c r="O28" s="110">
        <v>0</v>
      </c>
      <c r="P28" s="110">
        <v>0</v>
      </c>
      <c r="Q28" s="110">
        <v>8504472</v>
      </c>
      <c r="R28" s="110">
        <v>0</v>
      </c>
      <c r="S28" s="110">
        <v>0</v>
      </c>
      <c r="T28" s="110">
        <v>51448572</v>
      </c>
      <c r="U28" s="110">
        <v>36827565</v>
      </c>
      <c r="V28" s="236">
        <v>0</v>
      </c>
      <c r="W28" s="238">
        <v>542011</v>
      </c>
      <c r="X28" s="212"/>
      <c r="Y28" s="212"/>
    </row>
    <row r="29" spans="1:25" ht="46.5" customHeight="1">
      <c r="A29" s="165"/>
      <c r="B29" s="216" t="s">
        <v>965</v>
      </c>
      <c r="C29" s="216"/>
      <c r="D29" s="215" t="s">
        <v>363</v>
      </c>
      <c r="E29" s="106">
        <f t="shared" si="2"/>
        <v>202184</v>
      </c>
      <c r="F29" s="110"/>
      <c r="G29" s="110"/>
      <c r="H29" s="110">
        <v>138684</v>
      </c>
      <c r="I29" s="110"/>
      <c r="J29" s="110"/>
      <c r="K29" s="110">
        <v>0</v>
      </c>
      <c r="L29" s="110">
        <v>63500</v>
      </c>
      <c r="M29" s="236">
        <v>0</v>
      </c>
      <c r="N29" s="339">
        <f t="shared" si="3"/>
        <v>202184</v>
      </c>
      <c r="O29" s="110"/>
      <c r="P29" s="110"/>
      <c r="Q29" s="110">
        <v>138684</v>
      </c>
      <c r="R29" s="110"/>
      <c r="S29" s="110"/>
      <c r="T29" s="110">
        <v>0</v>
      </c>
      <c r="U29" s="110">
        <v>63500</v>
      </c>
      <c r="V29" s="236">
        <v>0</v>
      </c>
      <c r="W29" s="238">
        <v>542012</v>
      </c>
      <c r="X29" s="212"/>
      <c r="Y29" s="212"/>
    </row>
    <row r="30" spans="1:25" s="111" customFormat="1" ht="46.5">
      <c r="A30" s="219"/>
      <c r="B30" s="216" t="s">
        <v>966</v>
      </c>
      <c r="C30" s="216"/>
      <c r="D30" s="215" t="s">
        <v>364</v>
      </c>
      <c r="E30" s="106">
        <f aca="true" t="shared" si="4" ref="E30:E35">SUM(F30:M30)</f>
        <v>9701360</v>
      </c>
      <c r="F30" s="109">
        <v>0</v>
      </c>
      <c r="G30" s="109">
        <v>0</v>
      </c>
      <c r="H30" s="109">
        <v>80010</v>
      </c>
      <c r="I30" s="109">
        <v>0</v>
      </c>
      <c r="J30" s="109">
        <v>0</v>
      </c>
      <c r="K30" s="110">
        <v>9621350</v>
      </c>
      <c r="L30" s="110">
        <v>0</v>
      </c>
      <c r="M30" s="236">
        <v>0</v>
      </c>
      <c r="N30" s="339">
        <f t="shared" si="3"/>
        <v>9701360</v>
      </c>
      <c r="O30" s="109">
        <v>0</v>
      </c>
      <c r="P30" s="109">
        <v>0</v>
      </c>
      <c r="Q30" s="109">
        <v>80010</v>
      </c>
      <c r="R30" s="109">
        <v>0</v>
      </c>
      <c r="S30" s="109">
        <v>0</v>
      </c>
      <c r="T30" s="110">
        <v>9621350</v>
      </c>
      <c r="U30" s="110">
        <v>0</v>
      </c>
      <c r="V30" s="236">
        <v>0</v>
      </c>
      <c r="W30" s="239">
        <v>542013</v>
      </c>
      <c r="X30" s="213"/>
      <c r="Y30" s="213"/>
    </row>
    <row r="31" spans="1:25" s="111" customFormat="1" ht="93">
      <c r="A31" s="219"/>
      <c r="B31" s="216" t="s">
        <v>967</v>
      </c>
      <c r="C31" s="216"/>
      <c r="D31" s="215" t="s">
        <v>365</v>
      </c>
      <c r="E31" s="106">
        <f t="shared" si="4"/>
        <v>11807529</v>
      </c>
      <c r="F31" s="109">
        <v>0</v>
      </c>
      <c r="G31" s="109">
        <v>0</v>
      </c>
      <c r="H31" s="109">
        <v>446126</v>
      </c>
      <c r="I31" s="109">
        <v>0</v>
      </c>
      <c r="J31" s="109">
        <v>0</v>
      </c>
      <c r="K31" s="110">
        <v>11361403</v>
      </c>
      <c r="L31" s="110">
        <v>0</v>
      </c>
      <c r="M31" s="236">
        <v>0</v>
      </c>
      <c r="N31" s="339">
        <f t="shared" si="3"/>
        <v>11807529</v>
      </c>
      <c r="O31" s="109">
        <v>0</v>
      </c>
      <c r="P31" s="109">
        <v>0</v>
      </c>
      <c r="Q31" s="109">
        <v>446126</v>
      </c>
      <c r="R31" s="109">
        <v>0</v>
      </c>
      <c r="S31" s="109">
        <v>0</v>
      </c>
      <c r="T31" s="110">
        <v>11361403</v>
      </c>
      <c r="U31" s="110">
        <v>0</v>
      </c>
      <c r="V31" s="236">
        <v>0</v>
      </c>
      <c r="W31" s="239">
        <v>542014</v>
      </c>
      <c r="X31" s="213"/>
      <c r="Y31" s="213"/>
    </row>
    <row r="32" spans="1:25" s="111" customFormat="1" ht="46.5">
      <c r="A32" s="219"/>
      <c r="B32" s="216" t="s">
        <v>968</v>
      </c>
      <c r="C32" s="216"/>
      <c r="D32" s="215" t="s">
        <v>366</v>
      </c>
      <c r="E32" s="106">
        <f t="shared" si="4"/>
        <v>251029208</v>
      </c>
      <c r="F32" s="109">
        <v>0</v>
      </c>
      <c r="G32" s="109">
        <v>0</v>
      </c>
      <c r="H32" s="109">
        <v>66692833</v>
      </c>
      <c r="I32" s="109">
        <v>0</v>
      </c>
      <c r="J32" s="109">
        <v>0</v>
      </c>
      <c r="K32" s="110">
        <v>14061548</v>
      </c>
      <c r="L32" s="110">
        <v>170274827</v>
      </c>
      <c r="M32" s="236">
        <v>0</v>
      </c>
      <c r="N32" s="339">
        <f t="shared" si="3"/>
        <v>251029208</v>
      </c>
      <c r="O32" s="109">
        <v>0</v>
      </c>
      <c r="P32" s="109">
        <v>0</v>
      </c>
      <c r="Q32" s="109">
        <v>66692833</v>
      </c>
      <c r="R32" s="109">
        <v>0</v>
      </c>
      <c r="S32" s="109">
        <v>0</v>
      </c>
      <c r="T32" s="110">
        <v>14061548</v>
      </c>
      <c r="U32" s="110">
        <v>170274827</v>
      </c>
      <c r="V32" s="236">
        <v>0</v>
      </c>
      <c r="W32" s="239">
        <v>542015</v>
      </c>
      <c r="X32" s="213"/>
      <c r="Y32" s="213"/>
    </row>
    <row r="33" spans="1:25" s="111" customFormat="1" ht="69.75">
      <c r="A33" s="219"/>
      <c r="B33" s="216" t="s">
        <v>969</v>
      </c>
      <c r="C33" s="216"/>
      <c r="D33" s="215" t="s">
        <v>367</v>
      </c>
      <c r="E33" s="106">
        <f t="shared" si="4"/>
        <v>369518451</v>
      </c>
      <c r="F33" s="109">
        <v>0</v>
      </c>
      <c r="G33" s="109">
        <v>0</v>
      </c>
      <c r="H33" s="109">
        <v>76858236</v>
      </c>
      <c r="I33" s="109">
        <v>0</v>
      </c>
      <c r="J33" s="109">
        <v>0</v>
      </c>
      <c r="K33" s="110">
        <v>32347132</v>
      </c>
      <c r="L33" s="110">
        <v>260313083</v>
      </c>
      <c r="M33" s="236">
        <v>0</v>
      </c>
      <c r="N33" s="339">
        <f t="shared" si="3"/>
        <v>369518451</v>
      </c>
      <c r="O33" s="109">
        <v>0</v>
      </c>
      <c r="P33" s="109">
        <v>0</v>
      </c>
      <c r="Q33" s="109">
        <v>76858236</v>
      </c>
      <c r="R33" s="109">
        <v>0</v>
      </c>
      <c r="S33" s="109">
        <v>0</v>
      </c>
      <c r="T33" s="110">
        <v>32347132</v>
      </c>
      <c r="U33" s="110">
        <v>260313083</v>
      </c>
      <c r="V33" s="236">
        <v>0</v>
      </c>
      <c r="W33" s="239">
        <v>542016</v>
      </c>
      <c r="X33" s="213"/>
      <c r="Y33" s="213"/>
    </row>
    <row r="34" spans="1:25" s="111" customFormat="1" ht="69.75" customHeight="1">
      <c r="A34" s="219"/>
      <c r="B34" s="216" t="s">
        <v>970</v>
      </c>
      <c r="C34" s="216"/>
      <c r="D34" s="215" t="s">
        <v>368</v>
      </c>
      <c r="E34" s="106">
        <f t="shared" si="4"/>
        <v>223436293</v>
      </c>
      <c r="F34" s="109">
        <v>0</v>
      </c>
      <c r="G34" s="109">
        <v>0</v>
      </c>
      <c r="H34" s="109">
        <v>2633777</v>
      </c>
      <c r="I34" s="109">
        <v>0</v>
      </c>
      <c r="J34" s="109">
        <v>0</v>
      </c>
      <c r="K34" s="110">
        <v>219545216</v>
      </c>
      <c r="L34" s="110">
        <v>1257300</v>
      </c>
      <c r="M34" s="236">
        <v>0</v>
      </c>
      <c r="N34" s="339">
        <f t="shared" si="3"/>
        <v>223436293</v>
      </c>
      <c r="O34" s="109">
        <v>0</v>
      </c>
      <c r="P34" s="109">
        <v>0</v>
      </c>
      <c r="Q34" s="109">
        <v>2633777</v>
      </c>
      <c r="R34" s="109">
        <v>0</v>
      </c>
      <c r="S34" s="109">
        <v>0</v>
      </c>
      <c r="T34" s="110">
        <v>219545216</v>
      </c>
      <c r="U34" s="110">
        <v>1257300</v>
      </c>
      <c r="V34" s="236">
        <v>0</v>
      </c>
      <c r="W34" s="239">
        <v>542017</v>
      </c>
      <c r="X34" s="213"/>
      <c r="Y34" s="213"/>
    </row>
    <row r="35" spans="1:25" s="111" customFormat="1" ht="69.75">
      <c r="A35" s="219"/>
      <c r="B35" s="216" t="s">
        <v>971</v>
      </c>
      <c r="C35" s="216"/>
      <c r="D35" s="215" t="s">
        <v>369</v>
      </c>
      <c r="E35" s="106">
        <f t="shared" si="4"/>
        <v>146525926</v>
      </c>
      <c r="F35" s="109">
        <v>0</v>
      </c>
      <c r="G35" s="109">
        <v>0</v>
      </c>
      <c r="H35" s="109">
        <v>1699260</v>
      </c>
      <c r="I35" s="109">
        <v>0</v>
      </c>
      <c r="J35" s="109">
        <v>0</v>
      </c>
      <c r="K35" s="110">
        <v>32509839</v>
      </c>
      <c r="L35" s="110">
        <v>112316827</v>
      </c>
      <c r="M35" s="236">
        <v>0</v>
      </c>
      <c r="N35" s="339">
        <f t="shared" si="3"/>
        <v>146525926</v>
      </c>
      <c r="O35" s="109">
        <v>0</v>
      </c>
      <c r="P35" s="109">
        <v>0</v>
      </c>
      <c r="Q35" s="109">
        <v>1699260</v>
      </c>
      <c r="R35" s="109">
        <v>0</v>
      </c>
      <c r="S35" s="109">
        <v>0</v>
      </c>
      <c r="T35" s="110">
        <v>32509839</v>
      </c>
      <c r="U35" s="110">
        <v>112316827</v>
      </c>
      <c r="V35" s="236">
        <v>0</v>
      </c>
      <c r="W35" s="239">
        <v>542018</v>
      </c>
      <c r="X35" s="213"/>
      <c r="Y35" s="213"/>
    </row>
    <row r="36" spans="1:25" ht="48" customHeight="1">
      <c r="A36" s="165"/>
      <c r="B36" s="409" t="s">
        <v>1209</v>
      </c>
      <c r="C36" s="409"/>
      <c r="D36" s="409"/>
      <c r="E36" s="106"/>
      <c r="F36" s="110"/>
      <c r="G36" s="110"/>
      <c r="H36" s="110"/>
      <c r="I36" s="110"/>
      <c r="J36" s="110"/>
      <c r="K36" s="110">
        <v>0</v>
      </c>
      <c r="L36" s="110">
        <v>0</v>
      </c>
      <c r="M36" s="236">
        <v>0</v>
      </c>
      <c r="N36" s="339"/>
      <c r="O36" s="110"/>
      <c r="P36" s="110"/>
      <c r="Q36" s="110"/>
      <c r="R36" s="110"/>
      <c r="S36" s="110"/>
      <c r="T36" s="110">
        <v>0</v>
      </c>
      <c r="U36" s="110">
        <v>0</v>
      </c>
      <c r="V36" s="236">
        <v>0</v>
      </c>
      <c r="W36" s="238"/>
      <c r="X36" s="212"/>
      <c r="Y36" s="212"/>
    </row>
    <row r="37" spans="1:25" ht="46.5">
      <c r="A37" s="108"/>
      <c r="B37" s="221" t="s">
        <v>972</v>
      </c>
      <c r="C37" s="221"/>
      <c r="D37" s="215" t="s">
        <v>850</v>
      </c>
      <c r="E37" s="106">
        <f>SUM(F37:M37)</f>
        <v>102700173</v>
      </c>
      <c r="F37" s="110">
        <v>0</v>
      </c>
      <c r="G37" s="110">
        <v>0</v>
      </c>
      <c r="H37" s="110">
        <v>2674973</v>
      </c>
      <c r="I37" s="110">
        <v>0</v>
      </c>
      <c r="J37" s="110">
        <v>0</v>
      </c>
      <c r="K37" s="110">
        <v>100025200</v>
      </c>
      <c r="L37" s="110">
        <v>0</v>
      </c>
      <c r="M37" s="236">
        <v>0</v>
      </c>
      <c r="N37" s="339">
        <f>SUM(O37:V37)</f>
        <v>102700173</v>
      </c>
      <c r="O37" s="110">
        <v>0</v>
      </c>
      <c r="P37" s="110">
        <v>0</v>
      </c>
      <c r="Q37" s="110">
        <v>2674973</v>
      </c>
      <c r="R37" s="110">
        <v>0</v>
      </c>
      <c r="S37" s="110">
        <v>0</v>
      </c>
      <c r="T37" s="110">
        <v>100025200</v>
      </c>
      <c r="U37" s="110">
        <v>0</v>
      </c>
      <c r="V37" s="236">
        <v>0</v>
      </c>
      <c r="W37" s="238">
        <v>542019</v>
      </c>
      <c r="X37" s="212"/>
      <c r="Y37" s="212"/>
    </row>
    <row r="38" spans="1:25" ht="46.5">
      <c r="A38" s="108"/>
      <c r="B38" s="221" t="s">
        <v>973</v>
      </c>
      <c r="C38" s="221"/>
      <c r="D38" s="215" t="s">
        <v>851</v>
      </c>
      <c r="E38" s="106">
        <f>SUM(F38:M38)</f>
        <v>641683104</v>
      </c>
      <c r="F38" s="110">
        <v>0</v>
      </c>
      <c r="G38" s="110">
        <v>0</v>
      </c>
      <c r="H38" s="110">
        <v>10684224</v>
      </c>
      <c r="I38" s="110">
        <v>0</v>
      </c>
      <c r="J38" s="110">
        <v>0</v>
      </c>
      <c r="K38" s="110">
        <v>630998880</v>
      </c>
      <c r="L38" s="110">
        <v>0</v>
      </c>
      <c r="M38" s="236">
        <v>0</v>
      </c>
      <c r="N38" s="339">
        <f>SUM(O38:V38)</f>
        <v>641683104</v>
      </c>
      <c r="O38" s="110">
        <v>0</v>
      </c>
      <c r="P38" s="110">
        <v>0</v>
      </c>
      <c r="Q38" s="110">
        <v>10684224</v>
      </c>
      <c r="R38" s="110">
        <v>0</v>
      </c>
      <c r="S38" s="110">
        <v>0</v>
      </c>
      <c r="T38" s="110">
        <v>630998880</v>
      </c>
      <c r="U38" s="110">
        <v>0</v>
      </c>
      <c r="V38" s="236">
        <v>0</v>
      </c>
      <c r="W38" s="238">
        <v>542020</v>
      </c>
      <c r="X38" s="212"/>
      <c r="Y38" s="212"/>
    </row>
    <row r="39" spans="1:25" ht="69.75">
      <c r="A39" s="108"/>
      <c r="B39" s="221" t="s">
        <v>974</v>
      </c>
      <c r="C39" s="221"/>
      <c r="D39" s="215" t="s">
        <v>852</v>
      </c>
      <c r="E39" s="106">
        <f>SUM(F39:M39)</f>
        <v>531601677</v>
      </c>
      <c r="F39" s="110">
        <v>0</v>
      </c>
      <c r="G39" s="110">
        <v>0</v>
      </c>
      <c r="H39" s="110">
        <v>5784850</v>
      </c>
      <c r="I39" s="110">
        <v>0</v>
      </c>
      <c r="J39" s="110">
        <v>0</v>
      </c>
      <c r="K39" s="110">
        <v>525816827</v>
      </c>
      <c r="L39" s="110">
        <v>0</v>
      </c>
      <c r="M39" s="236">
        <v>0</v>
      </c>
      <c r="N39" s="339">
        <f>SUM(O39:V39)</f>
        <v>531601677</v>
      </c>
      <c r="O39" s="110">
        <v>0</v>
      </c>
      <c r="P39" s="110">
        <v>0</v>
      </c>
      <c r="Q39" s="110">
        <v>5784850</v>
      </c>
      <c r="R39" s="110">
        <v>0</v>
      </c>
      <c r="S39" s="110">
        <v>0</v>
      </c>
      <c r="T39" s="110">
        <v>525816827</v>
      </c>
      <c r="U39" s="110">
        <v>0</v>
      </c>
      <c r="V39" s="236">
        <v>0</v>
      </c>
      <c r="W39" s="238">
        <v>542021</v>
      </c>
      <c r="X39" s="212"/>
      <c r="Y39" s="212"/>
    </row>
    <row r="40" spans="1:25" ht="78.75" customHeight="1">
      <c r="A40" s="165"/>
      <c r="B40" s="221" t="s">
        <v>975</v>
      </c>
      <c r="C40" s="221"/>
      <c r="D40" s="215" t="s">
        <v>1213</v>
      </c>
      <c r="E40" s="106">
        <f>SUM(F40:M40)</f>
        <v>67871892</v>
      </c>
      <c r="F40" s="110"/>
      <c r="G40" s="110"/>
      <c r="H40" s="110">
        <v>1790774</v>
      </c>
      <c r="I40" s="110"/>
      <c r="J40" s="110"/>
      <c r="K40" s="110">
        <v>66081118</v>
      </c>
      <c r="L40" s="110">
        <v>0</v>
      </c>
      <c r="M40" s="236">
        <v>0</v>
      </c>
      <c r="N40" s="339">
        <f>SUM(O40:V40)</f>
        <v>67871892</v>
      </c>
      <c r="O40" s="110"/>
      <c r="P40" s="110"/>
      <c r="Q40" s="110">
        <v>1790774</v>
      </c>
      <c r="R40" s="110"/>
      <c r="S40" s="110"/>
      <c r="T40" s="110">
        <v>66081118</v>
      </c>
      <c r="U40" s="110">
        <v>0</v>
      </c>
      <c r="V40" s="236">
        <v>0</v>
      </c>
      <c r="W40" s="238">
        <v>542022</v>
      </c>
      <c r="X40" s="212"/>
      <c r="Y40" s="212"/>
    </row>
    <row r="41" spans="1:25" ht="46.5">
      <c r="A41" s="108"/>
      <c r="B41" s="221" t="s">
        <v>976</v>
      </c>
      <c r="C41" s="221"/>
      <c r="D41" s="215" t="s">
        <v>1214</v>
      </c>
      <c r="E41" s="106">
        <f aca="true" t="shared" si="5" ref="E41:E54">SUM(F41:M41)</f>
        <v>585572480</v>
      </c>
      <c r="F41" s="110">
        <v>0</v>
      </c>
      <c r="G41" s="110">
        <v>0</v>
      </c>
      <c r="H41" s="110">
        <v>9831832</v>
      </c>
      <c r="I41" s="110">
        <v>0</v>
      </c>
      <c r="J41" s="110">
        <v>0</v>
      </c>
      <c r="K41" s="110">
        <v>575740648</v>
      </c>
      <c r="L41" s="110">
        <v>0</v>
      </c>
      <c r="M41" s="236">
        <v>0</v>
      </c>
      <c r="N41" s="339">
        <f aca="true" t="shared" si="6" ref="N41:N55">SUM(O41:V41)</f>
        <v>585572480</v>
      </c>
      <c r="O41" s="110">
        <v>0</v>
      </c>
      <c r="P41" s="110">
        <v>0</v>
      </c>
      <c r="Q41" s="110">
        <v>9831832</v>
      </c>
      <c r="R41" s="110">
        <v>0</v>
      </c>
      <c r="S41" s="110">
        <v>0</v>
      </c>
      <c r="T41" s="110">
        <v>575740648</v>
      </c>
      <c r="U41" s="110">
        <v>0</v>
      </c>
      <c r="V41" s="236">
        <v>0</v>
      </c>
      <c r="W41" s="238">
        <v>542023</v>
      </c>
      <c r="X41" s="212"/>
      <c r="Y41" s="212"/>
    </row>
    <row r="42" spans="1:25" ht="20.25" customHeight="1">
      <c r="A42" s="108"/>
      <c r="B42" s="409" t="s">
        <v>370</v>
      </c>
      <c r="C42" s="409"/>
      <c r="D42" s="409"/>
      <c r="E42" s="106">
        <f t="shared" si="5"/>
        <v>0</v>
      </c>
      <c r="F42" s="110">
        <v>0</v>
      </c>
      <c r="G42" s="110">
        <v>0</v>
      </c>
      <c r="H42" s="110"/>
      <c r="I42" s="110">
        <v>0</v>
      </c>
      <c r="J42" s="110">
        <v>0</v>
      </c>
      <c r="K42" s="110">
        <v>0</v>
      </c>
      <c r="L42" s="110">
        <v>0</v>
      </c>
      <c r="M42" s="236">
        <v>0</v>
      </c>
      <c r="N42" s="339">
        <f t="shared" si="6"/>
        <v>0</v>
      </c>
      <c r="O42" s="110">
        <v>0</v>
      </c>
      <c r="P42" s="110">
        <v>0</v>
      </c>
      <c r="Q42" s="110"/>
      <c r="R42" s="110">
        <v>0</v>
      </c>
      <c r="S42" s="110">
        <v>0</v>
      </c>
      <c r="T42" s="110">
        <v>0</v>
      </c>
      <c r="U42" s="110">
        <v>0</v>
      </c>
      <c r="V42" s="236">
        <v>0</v>
      </c>
      <c r="W42" s="238"/>
      <c r="X42" s="212"/>
      <c r="Y42" s="212"/>
    </row>
    <row r="43" spans="1:25" ht="46.5">
      <c r="A43" s="108"/>
      <c r="B43" s="221" t="s">
        <v>977</v>
      </c>
      <c r="C43" s="222"/>
      <c r="D43" s="222" t="s">
        <v>371</v>
      </c>
      <c r="E43" s="106">
        <f t="shared" si="5"/>
        <v>549781097</v>
      </c>
      <c r="F43" s="110">
        <v>0</v>
      </c>
      <c r="G43" s="110">
        <v>0</v>
      </c>
      <c r="H43" s="110">
        <v>9420098</v>
      </c>
      <c r="I43" s="110">
        <v>0</v>
      </c>
      <c r="J43" s="110">
        <v>0</v>
      </c>
      <c r="K43" s="110">
        <v>540360999</v>
      </c>
      <c r="L43" s="110">
        <v>0</v>
      </c>
      <c r="M43" s="236">
        <v>0</v>
      </c>
      <c r="N43" s="339">
        <f t="shared" si="6"/>
        <v>549781097</v>
      </c>
      <c r="O43" s="110">
        <v>0</v>
      </c>
      <c r="P43" s="110">
        <v>0</v>
      </c>
      <c r="Q43" s="110">
        <v>9420098</v>
      </c>
      <c r="R43" s="110">
        <v>0</v>
      </c>
      <c r="S43" s="110">
        <v>0</v>
      </c>
      <c r="T43" s="110">
        <v>540360999</v>
      </c>
      <c r="U43" s="110">
        <v>0</v>
      </c>
      <c r="V43" s="236">
        <v>0</v>
      </c>
      <c r="W43" s="238">
        <v>542024</v>
      </c>
      <c r="X43" s="212"/>
      <c r="Y43" s="212"/>
    </row>
    <row r="44" spans="1:25" s="111" customFormat="1" ht="46.5">
      <c r="A44" s="219"/>
      <c r="B44" s="221" t="s">
        <v>978</v>
      </c>
      <c r="C44" s="221"/>
      <c r="D44" s="215" t="s">
        <v>372</v>
      </c>
      <c r="E44" s="106">
        <f t="shared" si="5"/>
        <v>1309201796</v>
      </c>
      <c r="F44" s="109">
        <v>0</v>
      </c>
      <c r="G44" s="109">
        <v>0</v>
      </c>
      <c r="H44" s="109">
        <v>30752542</v>
      </c>
      <c r="I44" s="109">
        <v>0</v>
      </c>
      <c r="J44" s="109">
        <v>0</v>
      </c>
      <c r="K44" s="110">
        <v>1278449254</v>
      </c>
      <c r="L44" s="110">
        <v>0</v>
      </c>
      <c r="M44" s="236">
        <v>0</v>
      </c>
      <c r="N44" s="339">
        <f t="shared" si="6"/>
        <v>1309201796</v>
      </c>
      <c r="O44" s="109">
        <v>0</v>
      </c>
      <c r="P44" s="109">
        <v>0</v>
      </c>
      <c r="Q44" s="109">
        <v>30752542</v>
      </c>
      <c r="R44" s="109">
        <v>0</v>
      </c>
      <c r="S44" s="109">
        <v>0</v>
      </c>
      <c r="T44" s="110">
        <v>1278449254</v>
      </c>
      <c r="U44" s="110">
        <v>0</v>
      </c>
      <c r="V44" s="236">
        <v>0</v>
      </c>
      <c r="W44" s="239">
        <v>542025</v>
      </c>
      <c r="X44" s="213"/>
      <c r="Y44" s="213"/>
    </row>
    <row r="45" spans="1:25" ht="46.5">
      <c r="A45" s="108"/>
      <c r="B45" s="221" t="s">
        <v>979</v>
      </c>
      <c r="C45" s="221"/>
      <c r="D45" s="215" t="s">
        <v>373</v>
      </c>
      <c r="E45" s="106">
        <f t="shared" si="5"/>
        <v>163132430</v>
      </c>
      <c r="F45" s="110">
        <v>0</v>
      </c>
      <c r="G45" s="110">
        <v>0</v>
      </c>
      <c r="H45" s="110">
        <v>1446022</v>
      </c>
      <c r="I45" s="110">
        <v>0</v>
      </c>
      <c r="J45" s="110">
        <v>0</v>
      </c>
      <c r="K45" s="110">
        <v>161686408</v>
      </c>
      <c r="L45" s="110">
        <v>0</v>
      </c>
      <c r="M45" s="236">
        <v>0</v>
      </c>
      <c r="N45" s="339">
        <f t="shared" si="6"/>
        <v>163132430</v>
      </c>
      <c r="O45" s="110">
        <v>0</v>
      </c>
      <c r="P45" s="110">
        <v>0</v>
      </c>
      <c r="Q45" s="110">
        <v>1446022</v>
      </c>
      <c r="R45" s="110">
        <v>0</v>
      </c>
      <c r="S45" s="110">
        <v>0</v>
      </c>
      <c r="T45" s="110">
        <v>161686408</v>
      </c>
      <c r="U45" s="110">
        <v>0</v>
      </c>
      <c r="V45" s="236">
        <v>0</v>
      </c>
      <c r="W45" s="238">
        <v>542026</v>
      </c>
      <c r="X45" s="212"/>
      <c r="Y45" s="212"/>
    </row>
    <row r="46" spans="1:25" ht="46.5">
      <c r="A46" s="108"/>
      <c r="B46" s="221" t="s">
        <v>980</v>
      </c>
      <c r="C46" s="221"/>
      <c r="D46" s="215" t="s">
        <v>374</v>
      </c>
      <c r="E46" s="106">
        <f t="shared" si="5"/>
        <v>226360048</v>
      </c>
      <c r="F46" s="110">
        <v>0</v>
      </c>
      <c r="G46" s="110">
        <v>0</v>
      </c>
      <c r="H46" s="110">
        <v>2067865</v>
      </c>
      <c r="I46" s="110">
        <v>0</v>
      </c>
      <c r="J46" s="110">
        <v>0</v>
      </c>
      <c r="K46" s="110">
        <v>224292183</v>
      </c>
      <c r="L46" s="110">
        <v>0</v>
      </c>
      <c r="M46" s="236">
        <v>0</v>
      </c>
      <c r="N46" s="339">
        <f t="shared" si="6"/>
        <v>226360048</v>
      </c>
      <c r="O46" s="110">
        <v>0</v>
      </c>
      <c r="P46" s="110">
        <v>0</v>
      </c>
      <c r="Q46" s="110">
        <v>2067865</v>
      </c>
      <c r="R46" s="110">
        <v>0</v>
      </c>
      <c r="S46" s="110">
        <v>0</v>
      </c>
      <c r="T46" s="110">
        <v>224292183</v>
      </c>
      <c r="U46" s="110">
        <v>0</v>
      </c>
      <c r="V46" s="236">
        <v>0</v>
      </c>
      <c r="W46" s="238">
        <v>542027</v>
      </c>
      <c r="X46" s="212"/>
      <c r="Y46" s="212"/>
    </row>
    <row r="47" spans="1:25" ht="46.5">
      <c r="A47" s="108"/>
      <c r="B47" s="221" t="s">
        <v>981</v>
      </c>
      <c r="C47" s="221"/>
      <c r="D47" s="215" t="s">
        <v>375</v>
      </c>
      <c r="E47" s="106">
        <f t="shared" si="5"/>
        <v>163814004</v>
      </c>
      <c r="F47" s="110">
        <v>0</v>
      </c>
      <c r="G47" s="110">
        <v>0</v>
      </c>
      <c r="H47" s="110">
        <v>4572559</v>
      </c>
      <c r="I47" s="110">
        <v>0</v>
      </c>
      <c r="J47" s="110">
        <v>0</v>
      </c>
      <c r="K47" s="110">
        <v>159241445</v>
      </c>
      <c r="L47" s="110">
        <v>0</v>
      </c>
      <c r="M47" s="236">
        <v>0</v>
      </c>
      <c r="N47" s="339">
        <f t="shared" si="6"/>
        <v>163814004</v>
      </c>
      <c r="O47" s="110">
        <v>0</v>
      </c>
      <c r="P47" s="110">
        <v>0</v>
      </c>
      <c r="Q47" s="110">
        <v>4572559</v>
      </c>
      <c r="R47" s="110">
        <v>0</v>
      </c>
      <c r="S47" s="110">
        <v>0</v>
      </c>
      <c r="T47" s="110">
        <v>159241445</v>
      </c>
      <c r="U47" s="110">
        <v>0</v>
      </c>
      <c r="V47" s="236">
        <v>0</v>
      </c>
      <c r="W47" s="238">
        <v>542028</v>
      </c>
      <c r="X47" s="212"/>
      <c r="Y47" s="212"/>
    </row>
    <row r="48" spans="1:25" ht="46.5">
      <c r="A48" s="108"/>
      <c r="B48" s="221" t="s">
        <v>982</v>
      </c>
      <c r="C48" s="221"/>
      <c r="D48" s="215" t="s">
        <v>376</v>
      </c>
      <c r="E48" s="106">
        <f t="shared" si="5"/>
        <v>589427134</v>
      </c>
      <c r="F48" s="110">
        <v>0</v>
      </c>
      <c r="G48" s="110">
        <v>0</v>
      </c>
      <c r="H48" s="110">
        <v>8701634</v>
      </c>
      <c r="I48" s="110">
        <v>0</v>
      </c>
      <c r="J48" s="110">
        <v>0</v>
      </c>
      <c r="K48" s="110">
        <v>580725500</v>
      </c>
      <c r="L48" s="110">
        <v>0</v>
      </c>
      <c r="M48" s="236">
        <v>0</v>
      </c>
      <c r="N48" s="339">
        <f t="shared" si="6"/>
        <v>589427134</v>
      </c>
      <c r="O48" s="110">
        <v>0</v>
      </c>
      <c r="P48" s="110">
        <v>0</v>
      </c>
      <c r="Q48" s="110">
        <v>8701634</v>
      </c>
      <c r="R48" s="110">
        <v>0</v>
      </c>
      <c r="S48" s="110">
        <v>0</v>
      </c>
      <c r="T48" s="110">
        <v>580725500</v>
      </c>
      <c r="U48" s="110">
        <v>0</v>
      </c>
      <c r="V48" s="236">
        <v>0</v>
      </c>
      <c r="W48" s="238">
        <v>542029</v>
      </c>
      <c r="X48" s="212"/>
      <c r="Y48" s="212"/>
    </row>
    <row r="49" spans="1:25" ht="20.25" customHeight="1">
      <c r="A49" s="108"/>
      <c r="B49" s="409" t="s">
        <v>853</v>
      </c>
      <c r="C49" s="409"/>
      <c r="D49" s="409"/>
      <c r="E49" s="106">
        <f t="shared" si="5"/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236">
        <v>0</v>
      </c>
      <c r="N49" s="339">
        <f t="shared" si="6"/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10">
        <v>0</v>
      </c>
      <c r="V49" s="236">
        <v>0</v>
      </c>
      <c r="W49" s="238"/>
      <c r="X49" s="212"/>
      <c r="Y49" s="212"/>
    </row>
    <row r="50" spans="1:25" ht="46.5">
      <c r="A50" s="108"/>
      <c r="B50" s="221" t="s">
        <v>983</v>
      </c>
      <c r="C50" s="222"/>
      <c r="D50" s="223" t="s">
        <v>901</v>
      </c>
      <c r="E50" s="106">
        <f t="shared" si="5"/>
        <v>132539202</v>
      </c>
      <c r="F50" s="110">
        <v>0</v>
      </c>
      <c r="G50" s="110">
        <v>0</v>
      </c>
      <c r="H50" s="110">
        <v>3621180</v>
      </c>
      <c r="I50" s="110">
        <v>0</v>
      </c>
      <c r="J50" s="110">
        <v>0</v>
      </c>
      <c r="K50" s="110">
        <v>128918022</v>
      </c>
      <c r="L50" s="110">
        <v>0</v>
      </c>
      <c r="M50" s="236">
        <v>0</v>
      </c>
      <c r="N50" s="339">
        <f t="shared" si="6"/>
        <v>132539202</v>
      </c>
      <c r="O50" s="110">
        <v>0</v>
      </c>
      <c r="P50" s="110">
        <v>0</v>
      </c>
      <c r="Q50" s="110">
        <v>3621180</v>
      </c>
      <c r="R50" s="110">
        <v>0</v>
      </c>
      <c r="S50" s="110">
        <v>0</v>
      </c>
      <c r="T50" s="110">
        <v>128918022</v>
      </c>
      <c r="U50" s="110">
        <v>0</v>
      </c>
      <c r="V50" s="236">
        <v>0</v>
      </c>
      <c r="W50" s="238">
        <v>542030</v>
      </c>
      <c r="X50" s="212"/>
      <c r="Y50" s="212"/>
    </row>
    <row r="51" spans="1:25" ht="46.5">
      <c r="A51" s="108"/>
      <c r="B51" s="221" t="s">
        <v>984</v>
      </c>
      <c r="C51" s="221"/>
      <c r="D51" s="223" t="s">
        <v>902</v>
      </c>
      <c r="E51" s="106">
        <f t="shared" si="5"/>
        <v>689352702</v>
      </c>
      <c r="F51" s="110">
        <v>0</v>
      </c>
      <c r="G51" s="110">
        <v>0</v>
      </c>
      <c r="H51" s="110">
        <v>11714480</v>
      </c>
      <c r="I51" s="110">
        <v>0</v>
      </c>
      <c r="J51" s="110">
        <v>0</v>
      </c>
      <c r="K51" s="110">
        <v>677638222</v>
      </c>
      <c r="L51" s="110">
        <v>0</v>
      </c>
      <c r="M51" s="236">
        <v>0</v>
      </c>
      <c r="N51" s="339">
        <f t="shared" si="6"/>
        <v>689352702</v>
      </c>
      <c r="O51" s="110">
        <v>0</v>
      </c>
      <c r="P51" s="110">
        <v>0</v>
      </c>
      <c r="Q51" s="110">
        <v>11714480</v>
      </c>
      <c r="R51" s="110">
        <v>0</v>
      </c>
      <c r="S51" s="110">
        <v>0</v>
      </c>
      <c r="T51" s="110">
        <v>677638222</v>
      </c>
      <c r="U51" s="110">
        <v>0</v>
      </c>
      <c r="V51" s="236">
        <v>0</v>
      </c>
      <c r="W51" s="238">
        <v>542031</v>
      </c>
      <c r="X51" s="212"/>
      <c r="Y51" s="212"/>
    </row>
    <row r="52" spans="1:25" ht="46.5">
      <c r="A52" s="108"/>
      <c r="B52" s="221" t="s">
        <v>985</v>
      </c>
      <c r="C52" s="221"/>
      <c r="D52" s="223" t="s">
        <v>903</v>
      </c>
      <c r="E52" s="106">
        <f t="shared" si="5"/>
        <v>875988900</v>
      </c>
      <c r="F52" s="110">
        <v>0</v>
      </c>
      <c r="G52" s="110">
        <v>0</v>
      </c>
      <c r="H52" s="110">
        <v>14484350</v>
      </c>
      <c r="I52" s="110">
        <v>0</v>
      </c>
      <c r="J52" s="110">
        <v>0</v>
      </c>
      <c r="K52" s="110">
        <v>861504550</v>
      </c>
      <c r="L52" s="110">
        <v>0</v>
      </c>
      <c r="M52" s="236">
        <v>0</v>
      </c>
      <c r="N52" s="339">
        <f t="shared" si="6"/>
        <v>875988900</v>
      </c>
      <c r="O52" s="110">
        <v>0</v>
      </c>
      <c r="P52" s="110">
        <v>0</v>
      </c>
      <c r="Q52" s="110">
        <v>14484350</v>
      </c>
      <c r="R52" s="110">
        <v>0</v>
      </c>
      <c r="S52" s="110">
        <v>0</v>
      </c>
      <c r="T52" s="110">
        <v>861504550</v>
      </c>
      <c r="U52" s="110">
        <v>0</v>
      </c>
      <c r="V52" s="236">
        <v>0</v>
      </c>
      <c r="W52" s="238">
        <v>542032</v>
      </c>
      <c r="X52" s="212"/>
      <c r="Y52" s="212"/>
    </row>
    <row r="53" spans="1:25" s="111" customFormat="1" ht="46.5">
      <c r="A53" s="219"/>
      <c r="B53" s="221" t="s">
        <v>986</v>
      </c>
      <c r="C53" s="221"/>
      <c r="D53" s="223" t="s">
        <v>904</v>
      </c>
      <c r="E53" s="106">
        <f t="shared" si="5"/>
        <v>413650540</v>
      </c>
      <c r="F53" s="109">
        <v>0</v>
      </c>
      <c r="G53" s="109">
        <v>0</v>
      </c>
      <c r="H53" s="109">
        <v>6626222</v>
      </c>
      <c r="I53" s="109">
        <v>0</v>
      </c>
      <c r="J53" s="109">
        <v>0</v>
      </c>
      <c r="K53" s="110">
        <v>407024318</v>
      </c>
      <c r="L53" s="110">
        <v>0</v>
      </c>
      <c r="M53" s="236">
        <v>0</v>
      </c>
      <c r="N53" s="339">
        <f t="shared" si="6"/>
        <v>413650540</v>
      </c>
      <c r="O53" s="109">
        <v>0</v>
      </c>
      <c r="P53" s="109">
        <v>0</v>
      </c>
      <c r="Q53" s="109">
        <v>6626222</v>
      </c>
      <c r="R53" s="109">
        <v>0</v>
      </c>
      <c r="S53" s="109">
        <v>0</v>
      </c>
      <c r="T53" s="110">
        <v>407024318</v>
      </c>
      <c r="U53" s="110">
        <v>0</v>
      </c>
      <c r="V53" s="236">
        <v>0</v>
      </c>
      <c r="W53" s="239">
        <v>542033</v>
      </c>
      <c r="X53" s="213"/>
      <c r="Y53" s="213"/>
    </row>
    <row r="54" spans="1:25" ht="46.5">
      <c r="A54" s="108"/>
      <c r="B54" s="221" t="s">
        <v>987</v>
      </c>
      <c r="C54" s="221"/>
      <c r="D54" s="223" t="s">
        <v>905</v>
      </c>
      <c r="E54" s="106">
        <f t="shared" si="5"/>
        <v>281716999</v>
      </c>
      <c r="F54" s="110">
        <v>0</v>
      </c>
      <c r="G54" s="110">
        <v>0</v>
      </c>
      <c r="H54" s="110">
        <v>7608570</v>
      </c>
      <c r="I54" s="110">
        <v>0</v>
      </c>
      <c r="J54" s="110">
        <v>0</v>
      </c>
      <c r="K54" s="110">
        <v>274108429</v>
      </c>
      <c r="L54" s="110">
        <v>0</v>
      </c>
      <c r="M54" s="236">
        <v>0</v>
      </c>
      <c r="N54" s="339">
        <f t="shared" si="6"/>
        <v>281716999</v>
      </c>
      <c r="O54" s="110">
        <v>0</v>
      </c>
      <c r="P54" s="110">
        <v>0</v>
      </c>
      <c r="Q54" s="110">
        <v>7608570</v>
      </c>
      <c r="R54" s="110">
        <v>0</v>
      </c>
      <c r="S54" s="110">
        <v>0</v>
      </c>
      <c r="T54" s="110">
        <v>274108429</v>
      </c>
      <c r="U54" s="110">
        <v>0</v>
      </c>
      <c r="V54" s="236">
        <v>0</v>
      </c>
      <c r="W54" s="238">
        <v>542034</v>
      </c>
      <c r="X54" s="212"/>
      <c r="Y54" s="212"/>
    </row>
    <row r="55" spans="1:25" ht="20.25" customHeight="1">
      <c r="A55" s="108"/>
      <c r="B55" s="409" t="s">
        <v>377</v>
      </c>
      <c r="C55" s="409"/>
      <c r="D55" s="409"/>
      <c r="E55" s="106">
        <f aca="true" t="shared" si="7" ref="E55:E72">SUM(F55:M55)</f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236">
        <v>0</v>
      </c>
      <c r="N55" s="339">
        <f t="shared" si="6"/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10">
        <v>0</v>
      </c>
      <c r="V55" s="236">
        <v>0</v>
      </c>
      <c r="W55" s="238"/>
      <c r="X55" s="212"/>
      <c r="Y55" s="212"/>
    </row>
    <row r="56" spans="1:25" ht="69.75">
      <c r="A56" s="108"/>
      <c r="B56" s="216" t="s">
        <v>988</v>
      </c>
      <c r="C56" s="221"/>
      <c r="D56" s="215" t="s">
        <v>378</v>
      </c>
      <c r="E56" s="106">
        <f>SUM(F56:M56)</f>
        <v>4492498</v>
      </c>
      <c r="F56" s="110">
        <v>0</v>
      </c>
      <c r="G56" s="110">
        <v>0</v>
      </c>
      <c r="H56" s="110">
        <v>1888998</v>
      </c>
      <c r="I56" s="110">
        <v>0</v>
      </c>
      <c r="J56" s="110">
        <v>0</v>
      </c>
      <c r="K56" s="110">
        <v>2603500</v>
      </c>
      <c r="L56" s="110">
        <v>0</v>
      </c>
      <c r="M56" s="236">
        <v>0</v>
      </c>
      <c r="N56" s="339">
        <f>SUM(O56:V56)</f>
        <v>4492498</v>
      </c>
      <c r="O56" s="110">
        <v>0</v>
      </c>
      <c r="P56" s="110">
        <v>0</v>
      </c>
      <c r="Q56" s="110">
        <v>1888998</v>
      </c>
      <c r="R56" s="110">
        <v>0</v>
      </c>
      <c r="S56" s="110">
        <v>0</v>
      </c>
      <c r="T56" s="110">
        <v>2603500</v>
      </c>
      <c r="U56" s="110">
        <v>0</v>
      </c>
      <c r="V56" s="236">
        <v>0</v>
      </c>
      <c r="W56" s="238">
        <v>542035</v>
      </c>
      <c r="X56" s="212"/>
      <c r="Y56" s="212"/>
    </row>
    <row r="57" spans="1:25" ht="46.5">
      <c r="A57" s="108"/>
      <c r="B57" s="216" t="s">
        <v>989</v>
      </c>
      <c r="C57" s="221"/>
      <c r="D57" s="215" t="s">
        <v>379</v>
      </c>
      <c r="E57" s="106">
        <f>SUM(F57:M57)</f>
        <v>499471266</v>
      </c>
      <c r="F57" s="110">
        <v>0</v>
      </c>
      <c r="G57" s="110">
        <v>0</v>
      </c>
      <c r="H57" s="110">
        <v>12335510</v>
      </c>
      <c r="I57" s="110">
        <v>0</v>
      </c>
      <c r="J57" s="110">
        <v>0</v>
      </c>
      <c r="K57" s="110">
        <v>487135756</v>
      </c>
      <c r="L57" s="110">
        <v>0</v>
      </c>
      <c r="M57" s="236">
        <v>0</v>
      </c>
      <c r="N57" s="339">
        <f>SUM(O57:V57)</f>
        <v>499471266</v>
      </c>
      <c r="O57" s="110">
        <v>0</v>
      </c>
      <c r="P57" s="110">
        <v>0</v>
      </c>
      <c r="Q57" s="110">
        <v>12335510</v>
      </c>
      <c r="R57" s="110">
        <v>0</v>
      </c>
      <c r="S57" s="110">
        <v>0</v>
      </c>
      <c r="T57" s="110">
        <v>487135756</v>
      </c>
      <c r="U57" s="110">
        <v>0</v>
      </c>
      <c r="V57" s="236">
        <v>0</v>
      </c>
      <c r="W57" s="238">
        <v>542036</v>
      </c>
      <c r="X57" s="212"/>
      <c r="Y57" s="212"/>
    </row>
    <row r="58" spans="1:25" ht="46.5">
      <c r="A58" s="108"/>
      <c r="B58" s="216" t="s">
        <v>990</v>
      </c>
      <c r="C58" s="221"/>
      <c r="D58" s="215" t="s">
        <v>380</v>
      </c>
      <c r="E58" s="106">
        <f>SUM(F58:M58)</f>
        <v>599512541</v>
      </c>
      <c r="F58" s="110">
        <v>0</v>
      </c>
      <c r="G58" s="110">
        <v>0</v>
      </c>
      <c r="H58" s="110">
        <v>118274938</v>
      </c>
      <c r="I58" s="110">
        <v>0</v>
      </c>
      <c r="J58" s="110">
        <v>0</v>
      </c>
      <c r="K58" s="110">
        <v>481237603</v>
      </c>
      <c r="L58" s="110">
        <v>0</v>
      </c>
      <c r="M58" s="236">
        <v>0</v>
      </c>
      <c r="N58" s="339">
        <f>SUM(O58:V58)</f>
        <v>599512541</v>
      </c>
      <c r="O58" s="110">
        <v>0</v>
      </c>
      <c r="P58" s="110">
        <v>0</v>
      </c>
      <c r="Q58" s="110">
        <v>118274938</v>
      </c>
      <c r="R58" s="110">
        <v>0</v>
      </c>
      <c r="S58" s="110">
        <v>0</v>
      </c>
      <c r="T58" s="110">
        <v>481237603</v>
      </c>
      <c r="U58" s="110">
        <v>0</v>
      </c>
      <c r="V58" s="236">
        <v>0</v>
      </c>
      <c r="W58" s="238">
        <v>542037</v>
      </c>
      <c r="X58" s="212"/>
      <c r="Y58" s="212"/>
    </row>
    <row r="59" spans="1:25" ht="20.25" customHeight="1">
      <c r="A59" s="108"/>
      <c r="B59" s="409" t="s">
        <v>854</v>
      </c>
      <c r="C59" s="409"/>
      <c r="D59" s="409"/>
      <c r="E59" s="106">
        <f t="shared" si="7"/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236">
        <v>0</v>
      </c>
      <c r="N59" s="339">
        <f aca="true" t="shared" si="8" ref="N59:N80">SUM(O59:V59)</f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10">
        <v>0</v>
      </c>
      <c r="V59" s="236">
        <v>0</v>
      </c>
      <c r="W59" s="238"/>
      <c r="X59" s="212"/>
      <c r="Y59" s="212"/>
    </row>
    <row r="60" spans="1:25" ht="59.25" customHeight="1">
      <c r="A60" s="165"/>
      <c r="B60" s="216" t="s">
        <v>991</v>
      </c>
      <c r="C60" s="221"/>
      <c r="D60" s="215" t="s">
        <v>855</v>
      </c>
      <c r="E60" s="106">
        <f t="shared" si="7"/>
        <v>1279827275</v>
      </c>
      <c r="F60" s="110"/>
      <c r="G60" s="110"/>
      <c r="H60" s="110">
        <v>31736411</v>
      </c>
      <c r="I60" s="110"/>
      <c r="J60" s="110"/>
      <c r="K60" s="110">
        <v>1248090864</v>
      </c>
      <c r="L60" s="110">
        <v>0</v>
      </c>
      <c r="M60" s="236">
        <v>0</v>
      </c>
      <c r="N60" s="339">
        <f t="shared" si="8"/>
        <v>1279827275</v>
      </c>
      <c r="O60" s="110"/>
      <c r="P60" s="110"/>
      <c r="Q60" s="110">
        <v>31736411</v>
      </c>
      <c r="R60" s="110"/>
      <c r="S60" s="110"/>
      <c r="T60" s="110">
        <v>1248090864</v>
      </c>
      <c r="U60" s="110">
        <v>0</v>
      </c>
      <c r="V60" s="236">
        <v>0</v>
      </c>
      <c r="W60" s="238">
        <v>542038</v>
      </c>
      <c r="X60" s="212"/>
      <c r="Y60" s="212"/>
    </row>
    <row r="61" spans="1:25" ht="42.75" customHeight="1">
      <c r="A61" s="108"/>
      <c r="B61" s="409" t="s">
        <v>381</v>
      </c>
      <c r="C61" s="409"/>
      <c r="D61" s="409"/>
      <c r="E61" s="106">
        <f t="shared" si="7"/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236">
        <v>0</v>
      </c>
      <c r="N61" s="339">
        <f t="shared" si="8"/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236">
        <v>0</v>
      </c>
      <c r="W61" s="238"/>
      <c r="X61" s="212"/>
      <c r="Y61" s="212"/>
    </row>
    <row r="62" spans="1:25" ht="46.5">
      <c r="A62" s="108"/>
      <c r="B62" s="216" t="s">
        <v>992</v>
      </c>
      <c r="C62" s="221"/>
      <c r="D62" s="215" t="s">
        <v>382</v>
      </c>
      <c r="E62" s="106">
        <f t="shared" si="7"/>
        <v>283518772</v>
      </c>
      <c r="F62" s="110">
        <v>0</v>
      </c>
      <c r="G62" s="110">
        <v>0</v>
      </c>
      <c r="H62" s="110">
        <v>59054999</v>
      </c>
      <c r="I62" s="110">
        <v>0</v>
      </c>
      <c r="J62" s="110">
        <v>0</v>
      </c>
      <c r="K62" s="110">
        <v>0</v>
      </c>
      <c r="L62" s="110">
        <v>224463773</v>
      </c>
      <c r="M62" s="236">
        <v>0</v>
      </c>
      <c r="N62" s="339">
        <f t="shared" si="8"/>
        <v>283518772</v>
      </c>
      <c r="O62" s="110">
        <v>0</v>
      </c>
      <c r="P62" s="110">
        <v>0</v>
      </c>
      <c r="Q62" s="110">
        <v>59054999</v>
      </c>
      <c r="R62" s="110">
        <v>0</v>
      </c>
      <c r="S62" s="110">
        <v>0</v>
      </c>
      <c r="T62" s="110">
        <v>0</v>
      </c>
      <c r="U62" s="110">
        <v>224463773</v>
      </c>
      <c r="V62" s="236">
        <v>0</v>
      </c>
      <c r="W62" s="238">
        <v>542039</v>
      </c>
      <c r="X62" s="212"/>
      <c r="Y62" s="212"/>
    </row>
    <row r="63" spans="1:25" ht="46.5">
      <c r="A63" s="108"/>
      <c r="B63" s="216" t="s">
        <v>993</v>
      </c>
      <c r="C63" s="221"/>
      <c r="D63" s="215" t="s">
        <v>383</v>
      </c>
      <c r="E63" s="106">
        <f t="shared" si="7"/>
        <v>144480998</v>
      </c>
      <c r="F63" s="110">
        <v>0</v>
      </c>
      <c r="G63" s="110">
        <v>0</v>
      </c>
      <c r="H63" s="110">
        <v>3000248</v>
      </c>
      <c r="I63" s="110">
        <v>0</v>
      </c>
      <c r="J63" s="110">
        <v>0</v>
      </c>
      <c r="K63" s="110">
        <v>0</v>
      </c>
      <c r="L63" s="110">
        <v>141480750</v>
      </c>
      <c r="M63" s="236">
        <v>0</v>
      </c>
      <c r="N63" s="339">
        <f t="shared" si="8"/>
        <v>144480998</v>
      </c>
      <c r="O63" s="110">
        <v>0</v>
      </c>
      <c r="P63" s="110">
        <v>0</v>
      </c>
      <c r="Q63" s="110">
        <v>3000248</v>
      </c>
      <c r="R63" s="110">
        <v>0</v>
      </c>
      <c r="S63" s="110">
        <v>0</v>
      </c>
      <c r="T63" s="110">
        <v>0</v>
      </c>
      <c r="U63" s="110">
        <v>141480750</v>
      </c>
      <c r="V63" s="236">
        <v>0</v>
      </c>
      <c r="W63" s="238">
        <v>542040</v>
      </c>
      <c r="X63" s="212"/>
      <c r="Y63" s="212"/>
    </row>
    <row r="64" spans="1:25" ht="46.5">
      <c r="A64" s="108"/>
      <c r="B64" s="216" t="s">
        <v>994</v>
      </c>
      <c r="C64" s="221"/>
      <c r="D64" s="215" t="s">
        <v>384</v>
      </c>
      <c r="E64" s="106">
        <f t="shared" si="7"/>
        <v>114965448</v>
      </c>
      <c r="F64" s="110">
        <v>0</v>
      </c>
      <c r="G64" s="110">
        <v>0</v>
      </c>
      <c r="H64" s="110">
        <v>3000248</v>
      </c>
      <c r="I64" s="110">
        <v>0</v>
      </c>
      <c r="J64" s="110">
        <v>0</v>
      </c>
      <c r="K64" s="110">
        <v>0</v>
      </c>
      <c r="L64" s="110">
        <v>111965200</v>
      </c>
      <c r="M64" s="236">
        <v>0</v>
      </c>
      <c r="N64" s="339">
        <f t="shared" si="8"/>
        <v>114965448</v>
      </c>
      <c r="O64" s="110">
        <v>0</v>
      </c>
      <c r="P64" s="110">
        <v>0</v>
      </c>
      <c r="Q64" s="110">
        <v>3000248</v>
      </c>
      <c r="R64" s="110">
        <v>0</v>
      </c>
      <c r="S64" s="110">
        <v>0</v>
      </c>
      <c r="T64" s="110">
        <v>0</v>
      </c>
      <c r="U64" s="110">
        <v>111965200</v>
      </c>
      <c r="V64" s="236">
        <v>0</v>
      </c>
      <c r="W64" s="238">
        <v>542041</v>
      </c>
      <c r="X64" s="212"/>
      <c r="Y64" s="212"/>
    </row>
    <row r="65" spans="1:25" ht="46.5">
      <c r="A65" s="108"/>
      <c r="B65" s="216" t="s">
        <v>995</v>
      </c>
      <c r="C65" s="221"/>
      <c r="D65" s="215" t="s">
        <v>385</v>
      </c>
      <c r="E65" s="106">
        <f t="shared" si="7"/>
        <v>39973281</v>
      </c>
      <c r="F65" s="110">
        <v>0</v>
      </c>
      <c r="G65" s="110">
        <v>0</v>
      </c>
      <c r="H65" s="110">
        <v>1164649</v>
      </c>
      <c r="I65" s="110">
        <v>0</v>
      </c>
      <c r="J65" s="110">
        <v>0</v>
      </c>
      <c r="K65" s="110">
        <v>0</v>
      </c>
      <c r="L65" s="110">
        <v>38808632</v>
      </c>
      <c r="M65" s="236">
        <v>0</v>
      </c>
      <c r="N65" s="339">
        <f t="shared" si="8"/>
        <v>39973281</v>
      </c>
      <c r="O65" s="110">
        <v>0</v>
      </c>
      <c r="P65" s="110">
        <v>0</v>
      </c>
      <c r="Q65" s="110">
        <v>1164649</v>
      </c>
      <c r="R65" s="110">
        <v>0</v>
      </c>
      <c r="S65" s="110">
        <v>0</v>
      </c>
      <c r="T65" s="110">
        <v>0</v>
      </c>
      <c r="U65" s="110">
        <v>38808632</v>
      </c>
      <c r="V65" s="236">
        <v>0</v>
      </c>
      <c r="W65" s="238">
        <v>542042</v>
      </c>
      <c r="X65" s="212"/>
      <c r="Y65" s="212"/>
    </row>
    <row r="66" spans="1:25" ht="46.5">
      <c r="A66" s="108"/>
      <c r="B66" s="216" t="s">
        <v>996</v>
      </c>
      <c r="C66" s="221"/>
      <c r="D66" s="215" t="s">
        <v>386</v>
      </c>
      <c r="E66" s="106">
        <f t="shared" si="7"/>
        <v>434422987</v>
      </c>
      <c r="F66" s="110">
        <v>0</v>
      </c>
      <c r="G66" s="110">
        <v>0</v>
      </c>
      <c r="H66" s="110">
        <v>6649974</v>
      </c>
      <c r="I66" s="110">
        <v>0</v>
      </c>
      <c r="J66" s="110">
        <v>0</v>
      </c>
      <c r="K66" s="110">
        <v>0</v>
      </c>
      <c r="L66" s="110">
        <v>427773013</v>
      </c>
      <c r="M66" s="236">
        <v>0</v>
      </c>
      <c r="N66" s="339">
        <f t="shared" si="8"/>
        <v>434422987</v>
      </c>
      <c r="O66" s="110">
        <v>0</v>
      </c>
      <c r="P66" s="110">
        <v>0</v>
      </c>
      <c r="Q66" s="110">
        <v>6649974</v>
      </c>
      <c r="R66" s="110">
        <v>0</v>
      </c>
      <c r="S66" s="110">
        <v>0</v>
      </c>
      <c r="T66" s="110">
        <v>0</v>
      </c>
      <c r="U66" s="110">
        <v>427773013</v>
      </c>
      <c r="V66" s="236">
        <v>0</v>
      </c>
      <c r="W66" s="238">
        <v>542043</v>
      </c>
      <c r="X66" s="212"/>
      <c r="Y66" s="212"/>
    </row>
    <row r="67" spans="1:25" ht="46.5">
      <c r="A67" s="108"/>
      <c r="B67" s="216" t="s">
        <v>997</v>
      </c>
      <c r="C67" s="221"/>
      <c r="D67" s="215" t="s">
        <v>387</v>
      </c>
      <c r="E67" s="106">
        <f t="shared" si="7"/>
        <v>23045492</v>
      </c>
      <c r="F67" s="110">
        <v>0</v>
      </c>
      <c r="G67" s="110">
        <v>0</v>
      </c>
      <c r="H67" s="110">
        <v>705612</v>
      </c>
      <c r="I67" s="110">
        <v>0</v>
      </c>
      <c r="J67" s="110">
        <v>0</v>
      </c>
      <c r="K67" s="110">
        <v>0</v>
      </c>
      <c r="L67" s="110">
        <v>22339880</v>
      </c>
      <c r="M67" s="236">
        <v>0</v>
      </c>
      <c r="N67" s="339">
        <f t="shared" si="8"/>
        <v>23045492</v>
      </c>
      <c r="O67" s="110">
        <v>0</v>
      </c>
      <c r="P67" s="110">
        <v>0</v>
      </c>
      <c r="Q67" s="110">
        <v>705612</v>
      </c>
      <c r="R67" s="110">
        <v>0</v>
      </c>
      <c r="S67" s="110">
        <v>0</v>
      </c>
      <c r="T67" s="110">
        <v>0</v>
      </c>
      <c r="U67" s="110">
        <v>22339880</v>
      </c>
      <c r="V67" s="236">
        <v>0</v>
      </c>
      <c r="W67" s="238">
        <v>542044</v>
      </c>
      <c r="X67" s="212"/>
      <c r="Y67" s="212"/>
    </row>
    <row r="68" spans="1:25" ht="46.5">
      <c r="A68" s="108"/>
      <c r="B68" s="216" t="s">
        <v>998</v>
      </c>
      <c r="C68" s="221"/>
      <c r="D68" s="215" t="s">
        <v>388</v>
      </c>
      <c r="E68" s="106">
        <f t="shared" si="7"/>
        <v>100262016</v>
      </c>
      <c r="F68" s="110">
        <v>0</v>
      </c>
      <c r="G68" s="110">
        <v>0</v>
      </c>
      <c r="H68" s="110">
        <v>2588006</v>
      </c>
      <c r="I68" s="110">
        <v>0</v>
      </c>
      <c r="J68" s="110">
        <v>0</v>
      </c>
      <c r="K68" s="110">
        <v>0</v>
      </c>
      <c r="L68" s="110">
        <v>97674010</v>
      </c>
      <c r="M68" s="236">
        <v>0</v>
      </c>
      <c r="N68" s="339">
        <f t="shared" si="8"/>
        <v>100262016</v>
      </c>
      <c r="O68" s="110">
        <v>0</v>
      </c>
      <c r="P68" s="110">
        <v>0</v>
      </c>
      <c r="Q68" s="110">
        <v>2588006</v>
      </c>
      <c r="R68" s="110">
        <v>0</v>
      </c>
      <c r="S68" s="110">
        <v>0</v>
      </c>
      <c r="T68" s="110">
        <v>0</v>
      </c>
      <c r="U68" s="110">
        <v>97674010</v>
      </c>
      <c r="V68" s="236">
        <v>0</v>
      </c>
      <c r="W68" s="238">
        <v>542045</v>
      </c>
      <c r="X68" s="212"/>
      <c r="Y68" s="212"/>
    </row>
    <row r="69" spans="1:25" ht="46.5">
      <c r="A69" s="108"/>
      <c r="B69" s="216" t="s">
        <v>999</v>
      </c>
      <c r="C69" s="221"/>
      <c r="D69" s="215" t="s">
        <v>389</v>
      </c>
      <c r="E69" s="106">
        <f t="shared" si="7"/>
        <v>180792318</v>
      </c>
      <c r="F69" s="110">
        <v>0</v>
      </c>
      <c r="G69" s="110">
        <v>0</v>
      </c>
      <c r="H69" s="110">
        <v>9506529</v>
      </c>
      <c r="I69" s="110">
        <v>0</v>
      </c>
      <c r="J69" s="110">
        <v>0</v>
      </c>
      <c r="K69" s="110">
        <v>548640</v>
      </c>
      <c r="L69" s="110">
        <v>170737149</v>
      </c>
      <c r="M69" s="236">
        <v>0</v>
      </c>
      <c r="N69" s="339">
        <f t="shared" si="8"/>
        <v>180792318</v>
      </c>
      <c r="O69" s="110">
        <v>0</v>
      </c>
      <c r="P69" s="110">
        <v>0</v>
      </c>
      <c r="Q69" s="110">
        <v>9506529</v>
      </c>
      <c r="R69" s="110">
        <v>0</v>
      </c>
      <c r="S69" s="110">
        <v>0</v>
      </c>
      <c r="T69" s="110">
        <v>548640</v>
      </c>
      <c r="U69" s="110">
        <v>170737149</v>
      </c>
      <c r="V69" s="236">
        <v>0</v>
      </c>
      <c r="W69" s="238">
        <v>542046</v>
      </c>
      <c r="X69" s="212"/>
      <c r="Y69" s="212"/>
    </row>
    <row r="70" spans="1:25" ht="69.75">
      <c r="A70" s="108"/>
      <c r="B70" s="216" t="s">
        <v>1000</v>
      </c>
      <c r="C70" s="221"/>
      <c r="D70" s="215" t="s">
        <v>390</v>
      </c>
      <c r="E70" s="106">
        <f t="shared" si="7"/>
        <v>165819204</v>
      </c>
      <c r="F70" s="110">
        <v>0</v>
      </c>
      <c r="G70" s="110">
        <v>0</v>
      </c>
      <c r="H70" s="110">
        <v>4299204</v>
      </c>
      <c r="I70" s="110">
        <v>0</v>
      </c>
      <c r="J70" s="110">
        <v>0</v>
      </c>
      <c r="K70" s="110">
        <v>0</v>
      </c>
      <c r="L70" s="110">
        <v>161520000</v>
      </c>
      <c r="M70" s="236">
        <v>0</v>
      </c>
      <c r="N70" s="339">
        <f t="shared" si="8"/>
        <v>165819204</v>
      </c>
      <c r="O70" s="110">
        <v>0</v>
      </c>
      <c r="P70" s="110">
        <v>0</v>
      </c>
      <c r="Q70" s="110">
        <v>4299204</v>
      </c>
      <c r="R70" s="110">
        <v>0</v>
      </c>
      <c r="S70" s="110">
        <v>0</v>
      </c>
      <c r="T70" s="110">
        <v>0</v>
      </c>
      <c r="U70" s="110">
        <v>161520000</v>
      </c>
      <c r="V70" s="236">
        <v>0</v>
      </c>
      <c r="W70" s="238">
        <v>542047</v>
      </c>
      <c r="X70" s="212"/>
      <c r="Y70" s="212"/>
    </row>
    <row r="71" spans="1:25" ht="46.5">
      <c r="A71" s="108"/>
      <c r="B71" s="216" t="s">
        <v>1001</v>
      </c>
      <c r="C71" s="221"/>
      <c r="D71" s="215" t="s">
        <v>391</v>
      </c>
      <c r="E71" s="106">
        <f t="shared" si="7"/>
        <v>41809986</v>
      </c>
      <c r="F71" s="110">
        <v>0</v>
      </c>
      <c r="G71" s="110">
        <v>0</v>
      </c>
      <c r="H71" s="110">
        <v>1224026</v>
      </c>
      <c r="I71" s="110">
        <v>0</v>
      </c>
      <c r="J71" s="110">
        <v>0</v>
      </c>
      <c r="K71" s="110">
        <v>0</v>
      </c>
      <c r="L71" s="110">
        <v>40585960</v>
      </c>
      <c r="M71" s="236">
        <v>0</v>
      </c>
      <c r="N71" s="339">
        <f t="shared" si="8"/>
        <v>41809986</v>
      </c>
      <c r="O71" s="110">
        <v>0</v>
      </c>
      <c r="P71" s="110">
        <v>0</v>
      </c>
      <c r="Q71" s="110">
        <v>1224026</v>
      </c>
      <c r="R71" s="110">
        <v>0</v>
      </c>
      <c r="S71" s="110">
        <v>0</v>
      </c>
      <c r="T71" s="110">
        <v>0</v>
      </c>
      <c r="U71" s="110">
        <v>40585960</v>
      </c>
      <c r="V71" s="236">
        <v>0</v>
      </c>
      <c r="W71" s="238">
        <v>542048</v>
      </c>
      <c r="X71" s="212"/>
      <c r="Y71" s="212"/>
    </row>
    <row r="72" spans="1:25" ht="57.75" customHeight="1">
      <c r="A72" s="165"/>
      <c r="B72" s="216" t="s">
        <v>1002</v>
      </c>
      <c r="C72" s="221"/>
      <c r="D72" s="215" t="s">
        <v>1230</v>
      </c>
      <c r="E72" s="106">
        <f t="shared" si="7"/>
        <v>199415480</v>
      </c>
      <c r="F72" s="110"/>
      <c r="G72" s="110"/>
      <c r="H72" s="110">
        <v>4731258</v>
      </c>
      <c r="I72" s="110"/>
      <c r="J72" s="110"/>
      <c r="K72" s="110">
        <v>0</v>
      </c>
      <c r="L72" s="110">
        <v>194684222</v>
      </c>
      <c r="M72" s="236">
        <v>0</v>
      </c>
      <c r="N72" s="339">
        <f t="shared" si="8"/>
        <v>199415480</v>
      </c>
      <c r="O72" s="110"/>
      <c r="P72" s="110"/>
      <c r="Q72" s="110">
        <v>4731258</v>
      </c>
      <c r="R72" s="110"/>
      <c r="S72" s="110"/>
      <c r="T72" s="110">
        <v>0</v>
      </c>
      <c r="U72" s="110">
        <v>194684222</v>
      </c>
      <c r="V72" s="236">
        <v>0</v>
      </c>
      <c r="W72" s="238">
        <v>542049</v>
      </c>
      <c r="X72" s="212"/>
      <c r="Y72" s="212"/>
    </row>
    <row r="73" spans="1:25" s="111" customFormat="1" ht="46.5">
      <c r="A73" s="219"/>
      <c r="B73" s="216" t="s">
        <v>1003</v>
      </c>
      <c r="C73" s="221"/>
      <c r="D73" s="215" t="s">
        <v>392</v>
      </c>
      <c r="E73" s="106">
        <f aca="true" t="shared" si="9" ref="E73:E104">SUM(F73:M73)</f>
        <v>122981344</v>
      </c>
      <c r="F73" s="109">
        <v>0</v>
      </c>
      <c r="G73" s="109">
        <v>0</v>
      </c>
      <c r="H73" s="109">
        <v>2972054</v>
      </c>
      <c r="I73" s="109">
        <v>0</v>
      </c>
      <c r="J73" s="109">
        <v>0</v>
      </c>
      <c r="K73" s="110">
        <v>0</v>
      </c>
      <c r="L73" s="110">
        <v>120009290</v>
      </c>
      <c r="M73" s="236">
        <v>0</v>
      </c>
      <c r="N73" s="339">
        <f t="shared" si="8"/>
        <v>122981344</v>
      </c>
      <c r="O73" s="109">
        <v>0</v>
      </c>
      <c r="P73" s="109">
        <v>0</v>
      </c>
      <c r="Q73" s="109">
        <v>2972054</v>
      </c>
      <c r="R73" s="109">
        <v>0</v>
      </c>
      <c r="S73" s="109">
        <v>0</v>
      </c>
      <c r="T73" s="110">
        <v>0</v>
      </c>
      <c r="U73" s="110">
        <v>120009290</v>
      </c>
      <c r="V73" s="236">
        <v>0</v>
      </c>
      <c r="W73" s="239">
        <v>542050</v>
      </c>
      <c r="X73" s="213"/>
      <c r="Y73" s="213"/>
    </row>
    <row r="74" spans="1:25" ht="30" customHeight="1">
      <c r="A74" s="165"/>
      <c r="B74" s="409" t="s">
        <v>856</v>
      </c>
      <c r="C74" s="409"/>
      <c r="D74" s="409"/>
      <c r="E74" s="106">
        <f t="shared" si="9"/>
        <v>0</v>
      </c>
      <c r="F74" s="110"/>
      <c r="G74" s="110"/>
      <c r="H74" s="110"/>
      <c r="I74" s="110"/>
      <c r="J74" s="110"/>
      <c r="K74" s="110">
        <v>0</v>
      </c>
      <c r="L74" s="110">
        <v>0</v>
      </c>
      <c r="M74" s="236">
        <v>0</v>
      </c>
      <c r="N74" s="339">
        <f t="shared" si="8"/>
        <v>0</v>
      </c>
      <c r="O74" s="110"/>
      <c r="P74" s="110"/>
      <c r="Q74" s="110"/>
      <c r="R74" s="110"/>
      <c r="S74" s="110"/>
      <c r="T74" s="110">
        <v>0</v>
      </c>
      <c r="U74" s="110">
        <v>0</v>
      </c>
      <c r="V74" s="236">
        <v>0</v>
      </c>
      <c r="W74" s="238"/>
      <c r="X74" s="212"/>
      <c r="Y74" s="212"/>
    </row>
    <row r="75" spans="1:25" ht="46.5">
      <c r="A75" s="108"/>
      <c r="B75" s="216" t="s">
        <v>1004</v>
      </c>
      <c r="C75" s="221"/>
      <c r="D75" s="224" t="s">
        <v>857</v>
      </c>
      <c r="E75" s="106">
        <f t="shared" si="9"/>
        <v>161662269</v>
      </c>
      <c r="F75" s="110">
        <v>0</v>
      </c>
      <c r="G75" s="110">
        <v>0</v>
      </c>
      <c r="H75" s="110">
        <v>3669411</v>
      </c>
      <c r="I75" s="110">
        <v>0</v>
      </c>
      <c r="J75" s="110">
        <v>0</v>
      </c>
      <c r="K75" s="110">
        <v>0</v>
      </c>
      <c r="L75" s="110">
        <v>157992858</v>
      </c>
      <c r="M75" s="236">
        <v>0</v>
      </c>
      <c r="N75" s="339">
        <f t="shared" si="8"/>
        <v>161662269</v>
      </c>
      <c r="O75" s="110">
        <v>0</v>
      </c>
      <c r="P75" s="110">
        <v>0</v>
      </c>
      <c r="Q75" s="110">
        <v>3669411</v>
      </c>
      <c r="R75" s="110">
        <v>0</v>
      </c>
      <c r="S75" s="110">
        <v>0</v>
      </c>
      <c r="T75" s="110">
        <v>0</v>
      </c>
      <c r="U75" s="110">
        <v>157992858</v>
      </c>
      <c r="V75" s="236">
        <v>0</v>
      </c>
      <c r="W75" s="238">
        <v>542051</v>
      </c>
      <c r="X75" s="212"/>
      <c r="Y75" s="212"/>
    </row>
    <row r="76" spans="1:25" ht="54.75" customHeight="1">
      <c r="A76" s="165"/>
      <c r="B76" s="216" t="s">
        <v>1005</v>
      </c>
      <c r="C76" s="221"/>
      <c r="D76" s="224" t="s">
        <v>858</v>
      </c>
      <c r="E76" s="106">
        <f t="shared" si="9"/>
        <v>1016016401</v>
      </c>
      <c r="F76" s="110"/>
      <c r="G76" s="110"/>
      <c r="H76" s="110">
        <v>11933777</v>
      </c>
      <c r="I76" s="110"/>
      <c r="J76" s="110"/>
      <c r="K76" s="110">
        <v>0</v>
      </c>
      <c r="L76" s="110">
        <v>1004082624</v>
      </c>
      <c r="M76" s="236">
        <v>0</v>
      </c>
      <c r="N76" s="339">
        <f t="shared" si="8"/>
        <v>1016016401</v>
      </c>
      <c r="O76" s="110"/>
      <c r="P76" s="110"/>
      <c r="Q76" s="110">
        <v>11933777</v>
      </c>
      <c r="R76" s="110"/>
      <c r="S76" s="110"/>
      <c r="T76" s="110">
        <v>0</v>
      </c>
      <c r="U76" s="110">
        <v>1004082624</v>
      </c>
      <c r="V76" s="236">
        <v>0</v>
      </c>
      <c r="W76" s="238">
        <v>542052</v>
      </c>
      <c r="X76" s="212"/>
      <c r="Y76" s="212"/>
    </row>
    <row r="77" spans="1:25" ht="46.5">
      <c r="A77" s="112"/>
      <c r="B77" s="216" t="s">
        <v>1006</v>
      </c>
      <c r="C77" s="216"/>
      <c r="D77" s="224" t="s">
        <v>859</v>
      </c>
      <c r="E77" s="106">
        <f t="shared" si="9"/>
        <v>172411582</v>
      </c>
      <c r="F77" s="110">
        <v>0</v>
      </c>
      <c r="G77" s="110">
        <v>0</v>
      </c>
      <c r="H77" s="110">
        <v>3966715</v>
      </c>
      <c r="I77" s="110">
        <v>0</v>
      </c>
      <c r="J77" s="110">
        <v>0</v>
      </c>
      <c r="K77" s="110">
        <v>0</v>
      </c>
      <c r="L77" s="110">
        <v>168444867</v>
      </c>
      <c r="M77" s="236">
        <v>0</v>
      </c>
      <c r="N77" s="339">
        <f t="shared" si="8"/>
        <v>172411582</v>
      </c>
      <c r="O77" s="110">
        <v>0</v>
      </c>
      <c r="P77" s="110">
        <v>0</v>
      </c>
      <c r="Q77" s="110">
        <v>3966715</v>
      </c>
      <c r="R77" s="110">
        <v>0</v>
      </c>
      <c r="S77" s="110">
        <v>0</v>
      </c>
      <c r="T77" s="110">
        <v>0</v>
      </c>
      <c r="U77" s="110">
        <v>168444867</v>
      </c>
      <c r="V77" s="236">
        <v>0</v>
      </c>
      <c r="W77" s="238">
        <v>542053</v>
      </c>
      <c r="X77" s="212"/>
      <c r="Y77" s="212"/>
    </row>
    <row r="78" spans="1:25" ht="46.5">
      <c r="A78" s="112"/>
      <c r="B78" s="216" t="s">
        <v>1007</v>
      </c>
      <c r="C78" s="216"/>
      <c r="D78" s="224" t="s">
        <v>860</v>
      </c>
      <c r="E78" s="106">
        <f t="shared" si="9"/>
        <v>158772423</v>
      </c>
      <c r="F78" s="110">
        <v>0</v>
      </c>
      <c r="G78" s="110">
        <v>0</v>
      </c>
      <c r="H78" s="110">
        <v>3671821</v>
      </c>
      <c r="I78" s="110">
        <v>0</v>
      </c>
      <c r="J78" s="110">
        <v>0</v>
      </c>
      <c r="K78" s="110">
        <v>0</v>
      </c>
      <c r="L78" s="110">
        <v>155100602</v>
      </c>
      <c r="M78" s="236">
        <v>0</v>
      </c>
      <c r="N78" s="339">
        <f t="shared" si="8"/>
        <v>158772423</v>
      </c>
      <c r="O78" s="110">
        <v>0</v>
      </c>
      <c r="P78" s="110">
        <v>0</v>
      </c>
      <c r="Q78" s="110">
        <v>3671821</v>
      </c>
      <c r="R78" s="110">
        <v>0</v>
      </c>
      <c r="S78" s="110">
        <v>0</v>
      </c>
      <c r="T78" s="110">
        <v>0</v>
      </c>
      <c r="U78" s="110">
        <v>155100602</v>
      </c>
      <c r="V78" s="236">
        <v>0</v>
      </c>
      <c r="W78" s="238">
        <v>542054</v>
      </c>
      <c r="X78" s="212"/>
      <c r="Y78" s="212"/>
    </row>
    <row r="79" spans="1:25" s="111" customFormat="1" ht="69.75">
      <c r="A79" s="113"/>
      <c r="B79" s="216" t="s">
        <v>1008</v>
      </c>
      <c r="C79" s="216"/>
      <c r="D79" s="224" t="s">
        <v>861</v>
      </c>
      <c r="E79" s="106">
        <f t="shared" si="9"/>
        <v>67141804</v>
      </c>
      <c r="F79" s="109">
        <v>0</v>
      </c>
      <c r="G79" s="109">
        <v>0</v>
      </c>
      <c r="H79" s="109">
        <v>1544193</v>
      </c>
      <c r="I79" s="109">
        <v>0</v>
      </c>
      <c r="J79" s="109">
        <v>0</v>
      </c>
      <c r="K79" s="110">
        <v>0</v>
      </c>
      <c r="L79" s="110">
        <v>65597611</v>
      </c>
      <c r="M79" s="236">
        <v>0</v>
      </c>
      <c r="N79" s="339">
        <f t="shared" si="8"/>
        <v>67141804</v>
      </c>
      <c r="O79" s="109">
        <v>0</v>
      </c>
      <c r="P79" s="109">
        <v>0</v>
      </c>
      <c r="Q79" s="109">
        <v>1544193</v>
      </c>
      <c r="R79" s="109">
        <v>0</v>
      </c>
      <c r="S79" s="109">
        <v>0</v>
      </c>
      <c r="T79" s="110">
        <v>0</v>
      </c>
      <c r="U79" s="110">
        <v>65597611</v>
      </c>
      <c r="V79" s="236">
        <v>0</v>
      </c>
      <c r="W79" s="239">
        <v>542055</v>
      </c>
      <c r="X79" s="213"/>
      <c r="Y79" s="213"/>
    </row>
    <row r="80" spans="1:25" ht="69.75">
      <c r="A80" s="112"/>
      <c r="B80" s="216" t="s">
        <v>1009</v>
      </c>
      <c r="C80" s="216"/>
      <c r="D80" s="224" t="s">
        <v>862</v>
      </c>
      <c r="E80" s="106">
        <f t="shared" si="9"/>
        <v>1296729859</v>
      </c>
      <c r="F80" s="110">
        <v>0</v>
      </c>
      <c r="G80" s="110">
        <v>0</v>
      </c>
      <c r="H80" s="110">
        <v>71157701</v>
      </c>
      <c r="I80" s="110">
        <v>0</v>
      </c>
      <c r="J80" s="110">
        <v>0</v>
      </c>
      <c r="K80" s="110">
        <v>0</v>
      </c>
      <c r="L80" s="110">
        <v>1225572158</v>
      </c>
      <c r="M80" s="236">
        <v>0</v>
      </c>
      <c r="N80" s="339">
        <f t="shared" si="8"/>
        <v>1296729859</v>
      </c>
      <c r="O80" s="110">
        <v>0</v>
      </c>
      <c r="P80" s="110">
        <v>0</v>
      </c>
      <c r="Q80" s="110">
        <v>71157701</v>
      </c>
      <c r="R80" s="110">
        <v>0</v>
      </c>
      <c r="S80" s="110">
        <v>0</v>
      </c>
      <c r="T80" s="110">
        <v>0</v>
      </c>
      <c r="U80" s="110">
        <v>1225572158</v>
      </c>
      <c r="V80" s="236">
        <v>0</v>
      </c>
      <c r="W80" s="238">
        <v>542056</v>
      </c>
      <c r="X80" s="212"/>
      <c r="Y80" s="212"/>
    </row>
    <row r="81" spans="1:25" ht="46.5">
      <c r="A81" s="112"/>
      <c r="B81" s="216" t="s">
        <v>1010</v>
      </c>
      <c r="C81" s="216"/>
      <c r="D81" s="224" t="s">
        <v>864</v>
      </c>
      <c r="E81" s="106">
        <f>SUM(F81:M81)</f>
        <v>165595886</v>
      </c>
      <c r="F81" s="109">
        <v>0</v>
      </c>
      <c r="G81" s="109">
        <v>0</v>
      </c>
      <c r="H81" s="109">
        <v>3819268</v>
      </c>
      <c r="I81" s="109">
        <v>0</v>
      </c>
      <c r="J81" s="109">
        <v>0</v>
      </c>
      <c r="K81" s="110">
        <v>0</v>
      </c>
      <c r="L81" s="110">
        <v>161776618</v>
      </c>
      <c r="M81" s="236">
        <v>0</v>
      </c>
      <c r="N81" s="339">
        <f>SUM(O81:V81)</f>
        <v>165595886</v>
      </c>
      <c r="O81" s="109">
        <v>0</v>
      </c>
      <c r="P81" s="109">
        <v>0</v>
      </c>
      <c r="Q81" s="109">
        <v>3819268</v>
      </c>
      <c r="R81" s="109">
        <v>0</v>
      </c>
      <c r="S81" s="109">
        <v>0</v>
      </c>
      <c r="T81" s="110">
        <v>0</v>
      </c>
      <c r="U81" s="110">
        <v>161776618</v>
      </c>
      <c r="V81" s="236">
        <v>0</v>
      </c>
      <c r="W81" s="238">
        <v>542057</v>
      </c>
      <c r="X81" s="212"/>
      <c r="Y81" s="212"/>
    </row>
    <row r="82" spans="1:25" ht="46.5" customHeight="1">
      <c r="A82" s="165"/>
      <c r="B82" s="216" t="s">
        <v>1011</v>
      </c>
      <c r="C82" s="216"/>
      <c r="D82" s="224" t="s">
        <v>863</v>
      </c>
      <c r="E82" s="106">
        <f t="shared" si="9"/>
        <v>275590084</v>
      </c>
      <c r="F82" s="110"/>
      <c r="G82" s="110"/>
      <c r="H82" s="110">
        <v>4113022</v>
      </c>
      <c r="I82" s="110">
        <v>0</v>
      </c>
      <c r="J82" s="110">
        <v>0</v>
      </c>
      <c r="K82" s="110">
        <v>0</v>
      </c>
      <c r="L82" s="110">
        <v>271477062</v>
      </c>
      <c r="M82" s="236">
        <v>0</v>
      </c>
      <c r="N82" s="339">
        <f aca="true" t="shared" si="10" ref="N82:N145">SUM(O82:V82)</f>
        <v>275590084</v>
      </c>
      <c r="O82" s="110"/>
      <c r="P82" s="110"/>
      <c r="Q82" s="110">
        <v>4113022</v>
      </c>
      <c r="R82" s="110">
        <v>0</v>
      </c>
      <c r="S82" s="110">
        <v>0</v>
      </c>
      <c r="T82" s="110">
        <v>0</v>
      </c>
      <c r="U82" s="110">
        <v>271477062</v>
      </c>
      <c r="V82" s="236">
        <v>0</v>
      </c>
      <c r="W82" s="238">
        <v>542058</v>
      </c>
      <c r="X82" s="212"/>
      <c r="Y82" s="212"/>
    </row>
    <row r="83" spans="1:25" s="111" customFormat="1" ht="69.75">
      <c r="A83" s="219"/>
      <c r="B83" s="216" t="s">
        <v>1012</v>
      </c>
      <c r="C83" s="216"/>
      <c r="D83" s="224" t="s">
        <v>865</v>
      </c>
      <c r="E83" s="106">
        <f t="shared" si="9"/>
        <v>479202848</v>
      </c>
      <c r="F83" s="109">
        <v>0</v>
      </c>
      <c r="G83" s="109">
        <v>0</v>
      </c>
      <c r="H83" s="109">
        <v>5883526</v>
      </c>
      <c r="I83" s="109">
        <v>0</v>
      </c>
      <c r="J83" s="109">
        <v>0</v>
      </c>
      <c r="K83" s="110">
        <v>0</v>
      </c>
      <c r="L83" s="110">
        <v>473319322</v>
      </c>
      <c r="M83" s="236">
        <v>0</v>
      </c>
      <c r="N83" s="339">
        <f t="shared" si="10"/>
        <v>479202848</v>
      </c>
      <c r="O83" s="109">
        <v>0</v>
      </c>
      <c r="P83" s="109">
        <v>0</v>
      </c>
      <c r="Q83" s="109">
        <v>5883526</v>
      </c>
      <c r="R83" s="109">
        <v>0</v>
      </c>
      <c r="S83" s="109">
        <v>0</v>
      </c>
      <c r="T83" s="110">
        <v>0</v>
      </c>
      <c r="U83" s="110">
        <v>473319322</v>
      </c>
      <c r="V83" s="236">
        <v>0</v>
      </c>
      <c r="W83" s="239">
        <v>542059</v>
      </c>
      <c r="X83" s="213"/>
      <c r="Y83" s="213"/>
    </row>
    <row r="84" spans="1:25" ht="46.5">
      <c r="A84" s="108"/>
      <c r="B84" s="216" t="s">
        <v>1013</v>
      </c>
      <c r="C84" s="216"/>
      <c r="D84" s="224" t="s">
        <v>866</v>
      </c>
      <c r="E84" s="106">
        <f t="shared" si="9"/>
        <v>162645886</v>
      </c>
      <c r="F84" s="110">
        <v>0</v>
      </c>
      <c r="G84" s="110">
        <v>0</v>
      </c>
      <c r="H84" s="110">
        <v>3819268</v>
      </c>
      <c r="I84" s="110">
        <v>0</v>
      </c>
      <c r="J84" s="110">
        <v>0</v>
      </c>
      <c r="K84" s="110">
        <v>0</v>
      </c>
      <c r="L84" s="110">
        <v>158826618</v>
      </c>
      <c r="M84" s="236">
        <v>0</v>
      </c>
      <c r="N84" s="339">
        <f t="shared" si="10"/>
        <v>162645886</v>
      </c>
      <c r="O84" s="110">
        <v>0</v>
      </c>
      <c r="P84" s="110">
        <v>0</v>
      </c>
      <c r="Q84" s="110">
        <v>3819268</v>
      </c>
      <c r="R84" s="110">
        <v>0</v>
      </c>
      <c r="S84" s="110">
        <v>0</v>
      </c>
      <c r="T84" s="110">
        <v>0</v>
      </c>
      <c r="U84" s="110">
        <v>158826618</v>
      </c>
      <c r="V84" s="236">
        <v>0</v>
      </c>
      <c r="W84" s="238">
        <v>542060</v>
      </c>
      <c r="X84" s="212"/>
      <c r="Y84" s="212"/>
    </row>
    <row r="85" spans="1:25" ht="69.75">
      <c r="A85" s="108"/>
      <c r="B85" s="216" t="s">
        <v>1014</v>
      </c>
      <c r="C85" s="216"/>
      <c r="D85" s="224" t="s">
        <v>867</v>
      </c>
      <c r="E85" s="106">
        <f t="shared" si="9"/>
        <v>255502810</v>
      </c>
      <c r="F85" s="110">
        <v>0</v>
      </c>
      <c r="G85" s="110">
        <v>0</v>
      </c>
      <c r="H85" s="110">
        <v>2093592</v>
      </c>
      <c r="I85" s="110">
        <v>0</v>
      </c>
      <c r="J85" s="110">
        <v>0</v>
      </c>
      <c r="K85" s="110">
        <v>0</v>
      </c>
      <c r="L85" s="110">
        <v>253409218</v>
      </c>
      <c r="M85" s="236">
        <v>0</v>
      </c>
      <c r="N85" s="339">
        <f t="shared" si="10"/>
        <v>255502810</v>
      </c>
      <c r="O85" s="110">
        <v>0</v>
      </c>
      <c r="P85" s="110">
        <v>0</v>
      </c>
      <c r="Q85" s="110">
        <v>2093592</v>
      </c>
      <c r="R85" s="110">
        <v>0</v>
      </c>
      <c r="S85" s="110">
        <v>0</v>
      </c>
      <c r="T85" s="110">
        <v>0</v>
      </c>
      <c r="U85" s="110">
        <v>253409218</v>
      </c>
      <c r="V85" s="236">
        <v>0</v>
      </c>
      <c r="W85" s="238">
        <v>542061</v>
      </c>
      <c r="X85" s="212"/>
      <c r="Y85" s="212"/>
    </row>
    <row r="86" spans="1:25" ht="54" customHeight="1">
      <c r="A86" s="108"/>
      <c r="B86" s="409" t="s">
        <v>1215</v>
      </c>
      <c r="C86" s="409"/>
      <c r="D86" s="409"/>
      <c r="E86" s="106">
        <f t="shared" si="9"/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236">
        <v>0</v>
      </c>
      <c r="N86" s="339">
        <f t="shared" si="10"/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10">
        <v>0</v>
      </c>
      <c r="V86" s="236">
        <v>0</v>
      </c>
      <c r="W86" s="238"/>
      <c r="X86" s="212"/>
      <c r="Y86" s="212"/>
    </row>
    <row r="87" spans="1:25" ht="69.75">
      <c r="A87" s="108"/>
      <c r="B87" s="216" t="s">
        <v>1015</v>
      </c>
      <c r="C87" s="216"/>
      <c r="D87" s="215" t="s">
        <v>393</v>
      </c>
      <c r="E87" s="106">
        <f t="shared" si="9"/>
        <v>5296747</v>
      </c>
      <c r="F87" s="110">
        <v>0</v>
      </c>
      <c r="G87" s="110">
        <v>0</v>
      </c>
      <c r="H87" s="110">
        <v>273101</v>
      </c>
      <c r="I87" s="110">
        <v>0</v>
      </c>
      <c r="J87" s="110">
        <v>0</v>
      </c>
      <c r="K87" s="110">
        <v>5023646</v>
      </c>
      <c r="L87" s="110">
        <v>0</v>
      </c>
      <c r="M87" s="236">
        <v>0</v>
      </c>
      <c r="N87" s="339">
        <f t="shared" si="10"/>
        <v>5296747</v>
      </c>
      <c r="O87" s="110">
        <v>0</v>
      </c>
      <c r="P87" s="110">
        <v>0</v>
      </c>
      <c r="Q87" s="110">
        <v>273101</v>
      </c>
      <c r="R87" s="110">
        <v>0</v>
      </c>
      <c r="S87" s="110">
        <v>0</v>
      </c>
      <c r="T87" s="110">
        <v>5023646</v>
      </c>
      <c r="U87" s="110">
        <v>0</v>
      </c>
      <c r="V87" s="236">
        <v>0</v>
      </c>
      <c r="W87" s="238">
        <v>542062</v>
      </c>
      <c r="X87" s="212"/>
      <c r="Y87" s="212"/>
    </row>
    <row r="88" spans="1:25" ht="69.75">
      <c r="A88" s="108"/>
      <c r="B88" s="216" t="s">
        <v>1016</v>
      </c>
      <c r="C88" s="216"/>
      <c r="D88" s="215" t="s">
        <v>394</v>
      </c>
      <c r="E88" s="106">
        <f t="shared" si="9"/>
        <v>2986850</v>
      </c>
      <c r="F88" s="110">
        <v>0</v>
      </c>
      <c r="G88" s="110">
        <v>0</v>
      </c>
      <c r="H88" s="110">
        <v>502285</v>
      </c>
      <c r="I88" s="110">
        <v>0</v>
      </c>
      <c r="J88" s="110">
        <v>0</v>
      </c>
      <c r="K88" s="110">
        <v>2484565</v>
      </c>
      <c r="L88" s="110">
        <v>0</v>
      </c>
      <c r="M88" s="236">
        <v>0</v>
      </c>
      <c r="N88" s="339">
        <f t="shared" si="10"/>
        <v>2986850</v>
      </c>
      <c r="O88" s="110">
        <v>0</v>
      </c>
      <c r="P88" s="110">
        <v>0</v>
      </c>
      <c r="Q88" s="110">
        <v>502285</v>
      </c>
      <c r="R88" s="110">
        <v>0</v>
      </c>
      <c r="S88" s="110">
        <v>0</v>
      </c>
      <c r="T88" s="110">
        <v>2484565</v>
      </c>
      <c r="U88" s="110">
        <v>0</v>
      </c>
      <c r="V88" s="236">
        <v>0</v>
      </c>
      <c r="W88" s="238">
        <v>542063</v>
      </c>
      <c r="X88" s="212"/>
      <c r="Y88" s="212"/>
    </row>
    <row r="89" spans="1:25" ht="69.75">
      <c r="A89" s="108"/>
      <c r="B89" s="216" t="s">
        <v>1017</v>
      </c>
      <c r="C89" s="216"/>
      <c r="D89" s="215" t="s">
        <v>395</v>
      </c>
      <c r="E89" s="106">
        <f t="shared" si="9"/>
        <v>109881</v>
      </c>
      <c r="F89" s="110">
        <v>0</v>
      </c>
      <c r="G89" s="110">
        <v>0</v>
      </c>
      <c r="H89" s="110">
        <v>109881</v>
      </c>
      <c r="I89" s="110">
        <v>0</v>
      </c>
      <c r="J89" s="110">
        <v>0</v>
      </c>
      <c r="K89" s="110">
        <v>0</v>
      </c>
      <c r="L89" s="110">
        <v>0</v>
      </c>
      <c r="M89" s="236">
        <v>0</v>
      </c>
      <c r="N89" s="339">
        <f t="shared" si="10"/>
        <v>109881</v>
      </c>
      <c r="O89" s="110">
        <v>0</v>
      </c>
      <c r="P89" s="110">
        <v>0</v>
      </c>
      <c r="Q89" s="110">
        <v>109881</v>
      </c>
      <c r="R89" s="110">
        <v>0</v>
      </c>
      <c r="S89" s="110">
        <v>0</v>
      </c>
      <c r="T89" s="110">
        <v>0</v>
      </c>
      <c r="U89" s="110">
        <v>0</v>
      </c>
      <c r="V89" s="236">
        <v>0</v>
      </c>
      <c r="W89" s="238">
        <v>542064</v>
      </c>
      <c r="X89" s="212"/>
      <c r="Y89" s="212"/>
    </row>
    <row r="90" spans="1:25" ht="69.75">
      <c r="A90" s="108"/>
      <c r="B90" s="216" t="s">
        <v>1018</v>
      </c>
      <c r="C90" s="216"/>
      <c r="D90" s="215" t="s">
        <v>396</v>
      </c>
      <c r="E90" s="106">
        <f t="shared" si="9"/>
        <v>119481</v>
      </c>
      <c r="F90" s="110">
        <v>0</v>
      </c>
      <c r="G90" s="110">
        <v>0</v>
      </c>
      <c r="H90" s="110">
        <v>119481</v>
      </c>
      <c r="I90" s="110">
        <v>0</v>
      </c>
      <c r="J90" s="110">
        <v>0</v>
      </c>
      <c r="K90" s="110">
        <v>0</v>
      </c>
      <c r="L90" s="110">
        <v>0</v>
      </c>
      <c r="M90" s="236">
        <v>0</v>
      </c>
      <c r="N90" s="339">
        <f t="shared" si="10"/>
        <v>119481</v>
      </c>
      <c r="O90" s="110">
        <v>0</v>
      </c>
      <c r="P90" s="110">
        <v>0</v>
      </c>
      <c r="Q90" s="110">
        <v>119481</v>
      </c>
      <c r="R90" s="110">
        <v>0</v>
      </c>
      <c r="S90" s="110">
        <v>0</v>
      </c>
      <c r="T90" s="110">
        <v>0</v>
      </c>
      <c r="U90" s="110">
        <v>0</v>
      </c>
      <c r="V90" s="236">
        <v>0</v>
      </c>
      <c r="W90" s="238">
        <v>542065</v>
      </c>
      <c r="X90" s="212"/>
      <c r="Y90" s="212"/>
    </row>
    <row r="91" spans="1:25" ht="69.75">
      <c r="A91" s="108"/>
      <c r="B91" s="216" t="s">
        <v>1019</v>
      </c>
      <c r="C91" s="216"/>
      <c r="D91" s="215" t="s">
        <v>397</v>
      </c>
      <c r="E91" s="106">
        <f t="shared" si="9"/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236">
        <v>0</v>
      </c>
      <c r="N91" s="339">
        <f t="shared" si="10"/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10">
        <v>0</v>
      </c>
      <c r="V91" s="236">
        <v>0</v>
      </c>
      <c r="W91" s="238">
        <v>542066</v>
      </c>
      <c r="X91" s="212"/>
      <c r="Y91" s="212"/>
    </row>
    <row r="92" spans="1:25" ht="69.75">
      <c r="A92" s="108"/>
      <c r="B92" s="216" t="s">
        <v>1020</v>
      </c>
      <c r="C92" s="216"/>
      <c r="D92" s="215" t="s">
        <v>398</v>
      </c>
      <c r="E92" s="106">
        <f t="shared" si="9"/>
        <v>175754553</v>
      </c>
      <c r="F92" s="110">
        <v>0</v>
      </c>
      <c r="G92" s="110">
        <v>0</v>
      </c>
      <c r="H92" s="110">
        <v>2761234</v>
      </c>
      <c r="I92" s="110">
        <v>0</v>
      </c>
      <c r="J92" s="110">
        <v>0</v>
      </c>
      <c r="K92" s="110">
        <v>172993319</v>
      </c>
      <c r="L92" s="110">
        <v>0</v>
      </c>
      <c r="M92" s="236">
        <v>0</v>
      </c>
      <c r="N92" s="339">
        <f t="shared" si="10"/>
        <v>175754553</v>
      </c>
      <c r="O92" s="110">
        <v>0</v>
      </c>
      <c r="P92" s="110">
        <v>0</v>
      </c>
      <c r="Q92" s="110">
        <v>2761234</v>
      </c>
      <c r="R92" s="110">
        <v>0</v>
      </c>
      <c r="S92" s="110">
        <v>0</v>
      </c>
      <c r="T92" s="110">
        <v>172993319</v>
      </c>
      <c r="U92" s="110">
        <v>0</v>
      </c>
      <c r="V92" s="236">
        <v>0</v>
      </c>
      <c r="W92" s="238">
        <v>542067</v>
      </c>
      <c r="X92" s="212"/>
      <c r="Y92" s="212"/>
    </row>
    <row r="93" spans="1:25" ht="69.75">
      <c r="A93" s="108"/>
      <c r="B93" s="216" t="s">
        <v>1021</v>
      </c>
      <c r="C93" s="216"/>
      <c r="D93" s="215" t="s">
        <v>399</v>
      </c>
      <c r="E93" s="106">
        <f t="shared" si="9"/>
        <v>220828</v>
      </c>
      <c r="F93" s="110">
        <v>0</v>
      </c>
      <c r="G93" s="110">
        <v>0</v>
      </c>
      <c r="H93" s="110">
        <v>220828</v>
      </c>
      <c r="I93" s="110">
        <v>0</v>
      </c>
      <c r="J93" s="110">
        <v>0</v>
      </c>
      <c r="K93" s="110">
        <v>0</v>
      </c>
      <c r="L93" s="110">
        <v>0</v>
      </c>
      <c r="M93" s="236">
        <v>0</v>
      </c>
      <c r="N93" s="339">
        <f t="shared" si="10"/>
        <v>220828</v>
      </c>
      <c r="O93" s="110">
        <v>0</v>
      </c>
      <c r="P93" s="110">
        <v>0</v>
      </c>
      <c r="Q93" s="110">
        <v>220828</v>
      </c>
      <c r="R93" s="110">
        <v>0</v>
      </c>
      <c r="S93" s="110">
        <v>0</v>
      </c>
      <c r="T93" s="110">
        <v>0</v>
      </c>
      <c r="U93" s="110">
        <v>0</v>
      </c>
      <c r="V93" s="236">
        <v>0</v>
      </c>
      <c r="W93" s="238">
        <v>542068</v>
      </c>
      <c r="X93" s="212"/>
      <c r="Y93" s="212"/>
    </row>
    <row r="94" spans="1:25" ht="69.75">
      <c r="A94" s="108"/>
      <c r="B94" s="216" t="s">
        <v>1022</v>
      </c>
      <c r="C94" s="216"/>
      <c r="D94" s="215" t="s">
        <v>400</v>
      </c>
      <c r="E94" s="106">
        <f t="shared" si="9"/>
        <v>336265</v>
      </c>
      <c r="F94" s="110">
        <v>0</v>
      </c>
      <c r="G94" s="110">
        <v>0</v>
      </c>
      <c r="H94" s="110">
        <v>83211</v>
      </c>
      <c r="I94" s="110">
        <v>0</v>
      </c>
      <c r="J94" s="110">
        <v>0</v>
      </c>
      <c r="K94" s="110">
        <v>253054</v>
      </c>
      <c r="L94" s="110">
        <v>0</v>
      </c>
      <c r="M94" s="236">
        <v>0</v>
      </c>
      <c r="N94" s="339">
        <f t="shared" si="10"/>
        <v>336265</v>
      </c>
      <c r="O94" s="110">
        <v>0</v>
      </c>
      <c r="P94" s="110">
        <v>0</v>
      </c>
      <c r="Q94" s="110">
        <v>83211</v>
      </c>
      <c r="R94" s="110">
        <v>0</v>
      </c>
      <c r="S94" s="110">
        <v>0</v>
      </c>
      <c r="T94" s="110">
        <v>253054</v>
      </c>
      <c r="U94" s="110">
        <v>0</v>
      </c>
      <c r="V94" s="236">
        <v>0</v>
      </c>
      <c r="W94" s="238">
        <v>542069</v>
      </c>
      <c r="X94" s="212"/>
      <c r="Y94" s="212"/>
    </row>
    <row r="95" spans="1:25" ht="69.75">
      <c r="A95" s="108"/>
      <c r="B95" s="216" t="s">
        <v>1023</v>
      </c>
      <c r="C95" s="216"/>
      <c r="D95" s="215" t="s">
        <v>401</v>
      </c>
      <c r="E95" s="106">
        <f t="shared" si="9"/>
        <v>304755</v>
      </c>
      <c r="F95" s="110">
        <v>0</v>
      </c>
      <c r="G95" s="110">
        <v>0</v>
      </c>
      <c r="H95" s="110">
        <v>76809</v>
      </c>
      <c r="I95" s="110">
        <v>0</v>
      </c>
      <c r="J95" s="110">
        <v>0</v>
      </c>
      <c r="K95" s="110">
        <v>227946</v>
      </c>
      <c r="L95" s="110">
        <v>0</v>
      </c>
      <c r="M95" s="236">
        <v>0</v>
      </c>
      <c r="N95" s="339">
        <f t="shared" si="10"/>
        <v>304755</v>
      </c>
      <c r="O95" s="110">
        <v>0</v>
      </c>
      <c r="P95" s="110">
        <v>0</v>
      </c>
      <c r="Q95" s="110">
        <v>76809</v>
      </c>
      <c r="R95" s="110">
        <v>0</v>
      </c>
      <c r="S95" s="110">
        <v>0</v>
      </c>
      <c r="T95" s="110">
        <v>227946</v>
      </c>
      <c r="U95" s="110">
        <v>0</v>
      </c>
      <c r="V95" s="236">
        <v>0</v>
      </c>
      <c r="W95" s="238">
        <v>542070</v>
      </c>
      <c r="X95" s="212"/>
      <c r="Y95" s="212"/>
    </row>
    <row r="96" spans="1:25" s="111" customFormat="1" ht="69.75">
      <c r="A96" s="219"/>
      <c r="B96" s="216" t="s">
        <v>1024</v>
      </c>
      <c r="C96" s="216"/>
      <c r="D96" s="215" t="s">
        <v>402</v>
      </c>
      <c r="E96" s="106">
        <f t="shared" si="9"/>
        <v>1583586</v>
      </c>
      <c r="F96" s="109">
        <v>0</v>
      </c>
      <c r="G96" s="109">
        <v>0</v>
      </c>
      <c r="H96" s="109">
        <v>1354836</v>
      </c>
      <c r="I96" s="109">
        <v>0</v>
      </c>
      <c r="J96" s="109">
        <v>0</v>
      </c>
      <c r="K96" s="110">
        <v>228750</v>
      </c>
      <c r="L96" s="110">
        <v>0</v>
      </c>
      <c r="M96" s="236">
        <v>0</v>
      </c>
      <c r="N96" s="339">
        <f t="shared" si="10"/>
        <v>1583586</v>
      </c>
      <c r="O96" s="109">
        <v>0</v>
      </c>
      <c r="P96" s="109">
        <v>0</v>
      </c>
      <c r="Q96" s="109">
        <v>1354836</v>
      </c>
      <c r="R96" s="109">
        <v>0</v>
      </c>
      <c r="S96" s="109">
        <v>0</v>
      </c>
      <c r="T96" s="110">
        <v>228750</v>
      </c>
      <c r="U96" s="110">
        <v>0</v>
      </c>
      <c r="V96" s="236">
        <v>0</v>
      </c>
      <c r="W96" s="239">
        <v>542071</v>
      </c>
      <c r="X96" s="213"/>
      <c r="Y96" s="213"/>
    </row>
    <row r="97" spans="1:25" s="111" customFormat="1" ht="69.75">
      <c r="A97" s="219"/>
      <c r="B97" s="216" t="s">
        <v>1025</v>
      </c>
      <c r="C97" s="216"/>
      <c r="D97" s="215" t="s">
        <v>403</v>
      </c>
      <c r="E97" s="106">
        <f t="shared" si="9"/>
        <v>32849567</v>
      </c>
      <c r="F97" s="109">
        <v>0</v>
      </c>
      <c r="G97" s="109">
        <v>0</v>
      </c>
      <c r="H97" s="109">
        <v>816992</v>
      </c>
      <c r="I97" s="109">
        <v>0</v>
      </c>
      <c r="J97" s="109">
        <v>0</v>
      </c>
      <c r="K97" s="110">
        <v>5838536</v>
      </c>
      <c r="L97" s="110">
        <v>26194039</v>
      </c>
      <c r="M97" s="236">
        <v>0</v>
      </c>
      <c r="N97" s="339">
        <f t="shared" si="10"/>
        <v>32849567</v>
      </c>
      <c r="O97" s="109">
        <v>0</v>
      </c>
      <c r="P97" s="109">
        <v>0</v>
      </c>
      <c r="Q97" s="109">
        <v>816992</v>
      </c>
      <c r="R97" s="109">
        <v>0</v>
      </c>
      <c r="S97" s="109">
        <v>0</v>
      </c>
      <c r="T97" s="110">
        <v>5838536</v>
      </c>
      <c r="U97" s="110">
        <v>26194039</v>
      </c>
      <c r="V97" s="236">
        <v>0</v>
      </c>
      <c r="W97" s="239">
        <v>542072</v>
      </c>
      <c r="X97" s="213"/>
      <c r="Y97" s="213"/>
    </row>
    <row r="98" spans="1:25" ht="49.5" customHeight="1">
      <c r="A98" s="108"/>
      <c r="B98" s="409" t="s">
        <v>1216</v>
      </c>
      <c r="C98" s="409"/>
      <c r="D98" s="409"/>
      <c r="E98" s="106">
        <f t="shared" si="9"/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236">
        <v>0</v>
      </c>
      <c r="N98" s="339">
        <f t="shared" si="10"/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10">
        <v>0</v>
      </c>
      <c r="V98" s="236">
        <v>0</v>
      </c>
      <c r="W98" s="238"/>
      <c r="X98" s="212"/>
      <c r="Y98" s="212"/>
    </row>
    <row r="99" spans="1:25" ht="46.5">
      <c r="A99" s="108"/>
      <c r="B99" s="216" t="s">
        <v>1026</v>
      </c>
      <c r="C99" s="216"/>
      <c r="D99" s="215" t="s">
        <v>868</v>
      </c>
      <c r="E99" s="106">
        <f t="shared" si="9"/>
        <v>54866221</v>
      </c>
      <c r="F99" s="110">
        <v>0</v>
      </c>
      <c r="G99" s="110">
        <v>0</v>
      </c>
      <c r="H99" s="110">
        <v>1348433</v>
      </c>
      <c r="I99" s="110">
        <v>0</v>
      </c>
      <c r="J99" s="110">
        <v>0</v>
      </c>
      <c r="K99" s="110">
        <v>53517788</v>
      </c>
      <c r="L99" s="110">
        <v>0</v>
      </c>
      <c r="M99" s="236">
        <v>0</v>
      </c>
      <c r="N99" s="339">
        <f t="shared" si="10"/>
        <v>54866221</v>
      </c>
      <c r="O99" s="110">
        <v>0</v>
      </c>
      <c r="P99" s="110">
        <v>0</v>
      </c>
      <c r="Q99" s="110">
        <v>1348433</v>
      </c>
      <c r="R99" s="110">
        <v>0</v>
      </c>
      <c r="S99" s="110">
        <v>0</v>
      </c>
      <c r="T99" s="110">
        <v>53517788</v>
      </c>
      <c r="U99" s="110">
        <v>0</v>
      </c>
      <c r="V99" s="236">
        <v>0</v>
      </c>
      <c r="W99" s="238">
        <v>542073</v>
      </c>
      <c r="X99" s="212"/>
      <c r="Y99" s="212"/>
    </row>
    <row r="100" spans="1:25" ht="46.5">
      <c r="A100" s="108"/>
      <c r="B100" s="216" t="s">
        <v>1027</v>
      </c>
      <c r="C100" s="216"/>
      <c r="D100" s="215" t="s">
        <v>869</v>
      </c>
      <c r="E100" s="106">
        <f t="shared" si="9"/>
        <v>149940069</v>
      </c>
      <c r="F100" s="110">
        <v>0</v>
      </c>
      <c r="G100" s="110">
        <v>0</v>
      </c>
      <c r="H100" s="110">
        <v>3524374</v>
      </c>
      <c r="I100" s="110">
        <v>0</v>
      </c>
      <c r="J100" s="110">
        <v>0</v>
      </c>
      <c r="K100" s="110">
        <v>146415695</v>
      </c>
      <c r="L100" s="110">
        <v>0</v>
      </c>
      <c r="M100" s="236">
        <v>0</v>
      </c>
      <c r="N100" s="339">
        <f t="shared" si="10"/>
        <v>149940069</v>
      </c>
      <c r="O100" s="110">
        <v>0</v>
      </c>
      <c r="P100" s="110">
        <v>0</v>
      </c>
      <c r="Q100" s="110">
        <v>3524374</v>
      </c>
      <c r="R100" s="110">
        <v>0</v>
      </c>
      <c r="S100" s="110">
        <v>0</v>
      </c>
      <c r="T100" s="110">
        <v>146415695</v>
      </c>
      <c r="U100" s="110">
        <v>0</v>
      </c>
      <c r="V100" s="236">
        <v>0</v>
      </c>
      <c r="W100" s="238">
        <v>542074</v>
      </c>
      <c r="X100" s="212"/>
      <c r="Y100" s="212"/>
    </row>
    <row r="101" spans="1:25" s="111" customFormat="1" ht="46.5">
      <c r="A101" s="219"/>
      <c r="B101" s="216" t="s">
        <v>1028</v>
      </c>
      <c r="C101" s="216"/>
      <c r="D101" s="215" t="s">
        <v>870</v>
      </c>
      <c r="E101" s="106">
        <f t="shared" si="9"/>
        <v>83773985</v>
      </c>
      <c r="F101" s="109">
        <v>0</v>
      </c>
      <c r="G101" s="109">
        <v>0</v>
      </c>
      <c r="H101" s="109">
        <v>1986407</v>
      </c>
      <c r="I101" s="109">
        <v>0</v>
      </c>
      <c r="J101" s="109">
        <v>0</v>
      </c>
      <c r="K101" s="110">
        <v>78104578</v>
      </c>
      <c r="L101" s="110">
        <v>3683000</v>
      </c>
      <c r="M101" s="236">
        <v>0</v>
      </c>
      <c r="N101" s="339">
        <f t="shared" si="10"/>
        <v>83773985</v>
      </c>
      <c r="O101" s="109">
        <v>0</v>
      </c>
      <c r="P101" s="109">
        <v>0</v>
      </c>
      <c r="Q101" s="109">
        <v>1986407</v>
      </c>
      <c r="R101" s="109">
        <v>0</v>
      </c>
      <c r="S101" s="109">
        <v>0</v>
      </c>
      <c r="T101" s="110">
        <v>78104578</v>
      </c>
      <c r="U101" s="110">
        <v>3683000</v>
      </c>
      <c r="V101" s="236">
        <v>0</v>
      </c>
      <c r="W101" s="239">
        <v>542075</v>
      </c>
      <c r="X101" s="213"/>
      <c r="Y101" s="213"/>
    </row>
    <row r="102" spans="1:25" ht="57.75" customHeight="1">
      <c r="A102" s="165"/>
      <c r="B102" s="409" t="s">
        <v>871</v>
      </c>
      <c r="C102" s="409"/>
      <c r="D102" s="409"/>
      <c r="E102" s="106">
        <f t="shared" si="9"/>
        <v>0</v>
      </c>
      <c r="F102" s="110"/>
      <c r="G102" s="110"/>
      <c r="H102" s="110"/>
      <c r="I102" s="110"/>
      <c r="J102" s="110"/>
      <c r="K102" s="110">
        <v>0</v>
      </c>
      <c r="L102" s="110">
        <v>0</v>
      </c>
      <c r="M102" s="236">
        <v>0</v>
      </c>
      <c r="N102" s="339">
        <f t="shared" si="10"/>
        <v>0</v>
      </c>
      <c r="O102" s="110"/>
      <c r="P102" s="110"/>
      <c r="Q102" s="110"/>
      <c r="R102" s="110"/>
      <c r="S102" s="110"/>
      <c r="T102" s="110">
        <v>0</v>
      </c>
      <c r="U102" s="110">
        <v>0</v>
      </c>
      <c r="V102" s="236">
        <v>0</v>
      </c>
      <c r="W102" s="238"/>
      <c r="X102" s="212"/>
      <c r="Y102" s="212"/>
    </row>
    <row r="103" spans="1:25" ht="69.75">
      <c r="A103" s="108"/>
      <c r="B103" s="221" t="s">
        <v>1029</v>
      </c>
      <c r="C103" s="221"/>
      <c r="D103" s="222" t="s">
        <v>404</v>
      </c>
      <c r="E103" s="106">
        <f t="shared" si="9"/>
        <v>138365740</v>
      </c>
      <c r="F103" s="110">
        <v>0</v>
      </c>
      <c r="G103" s="110">
        <v>0</v>
      </c>
      <c r="H103" s="110">
        <v>28765481</v>
      </c>
      <c r="I103" s="110">
        <v>0</v>
      </c>
      <c r="J103" s="110">
        <v>0</v>
      </c>
      <c r="K103" s="110">
        <v>109600259</v>
      </c>
      <c r="L103" s="110">
        <v>0</v>
      </c>
      <c r="M103" s="236">
        <v>0</v>
      </c>
      <c r="N103" s="339">
        <f t="shared" si="10"/>
        <v>138365740</v>
      </c>
      <c r="O103" s="110">
        <v>0</v>
      </c>
      <c r="P103" s="110">
        <v>0</v>
      </c>
      <c r="Q103" s="110">
        <v>28765481</v>
      </c>
      <c r="R103" s="110">
        <v>0</v>
      </c>
      <c r="S103" s="110">
        <v>0</v>
      </c>
      <c r="T103" s="110">
        <v>109600259</v>
      </c>
      <c r="U103" s="110">
        <v>0</v>
      </c>
      <c r="V103" s="236">
        <v>0</v>
      </c>
      <c r="W103" s="238">
        <v>542076</v>
      </c>
      <c r="X103" s="212"/>
      <c r="Y103" s="212"/>
    </row>
    <row r="104" spans="1:25" ht="42.75" customHeight="1">
      <c r="A104" s="108"/>
      <c r="B104" s="409" t="s">
        <v>872</v>
      </c>
      <c r="C104" s="409"/>
      <c r="D104" s="409"/>
      <c r="E104" s="106">
        <f t="shared" si="9"/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236">
        <v>0</v>
      </c>
      <c r="N104" s="339">
        <f t="shared" si="10"/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10">
        <v>0</v>
      </c>
      <c r="V104" s="236">
        <v>0</v>
      </c>
      <c r="W104" s="238"/>
      <c r="X104" s="212"/>
      <c r="Y104" s="212"/>
    </row>
    <row r="105" spans="1:25" ht="46.5">
      <c r="A105" s="108"/>
      <c r="B105" s="216" t="s">
        <v>1030</v>
      </c>
      <c r="C105" s="216"/>
      <c r="D105" s="215" t="s">
        <v>798</v>
      </c>
      <c r="E105" s="106">
        <f aca="true" t="shared" si="11" ref="E105:E120">SUM(F105:M105)</f>
        <v>74289923</v>
      </c>
      <c r="F105" s="110">
        <v>0</v>
      </c>
      <c r="G105" s="110">
        <v>0</v>
      </c>
      <c r="H105" s="110">
        <v>1642491</v>
      </c>
      <c r="I105" s="110">
        <v>0</v>
      </c>
      <c r="J105" s="110">
        <v>0</v>
      </c>
      <c r="K105" s="110">
        <v>72647432</v>
      </c>
      <c r="L105" s="110">
        <v>0</v>
      </c>
      <c r="M105" s="236">
        <v>0</v>
      </c>
      <c r="N105" s="339">
        <f t="shared" si="10"/>
        <v>74289923</v>
      </c>
      <c r="O105" s="110">
        <v>0</v>
      </c>
      <c r="P105" s="110">
        <v>0</v>
      </c>
      <c r="Q105" s="110">
        <v>1642491</v>
      </c>
      <c r="R105" s="110">
        <v>0</v>
      </c>
      <c r="S105" s="110">
        <v>0</v>
      </c>
      <c r="T105" s="110">
        <v>72647432</v>
      </c>
      <c r="U105" s="110">
        <v>0</v>
      </c>
      <c r="V105" s="236">
        <v>0</v>
      </c>
      <c r="W105" s="238">
        <v>542077</v>
      </c>
      <c r="X105" s="212"/>
      <c r="Y105" s="212"/>
    </row>
    <row r="106" spans="1:25" ht="69.75">
      <c r="A106" s="108"/>
      <c r="B106" s="216" t="s">
        <v>1031</v>
      </c>
      <c r="C106" s="216"/>
      <c r="D106" s="215" t="s">
        <v>799</v>
      </c>
      <c r="E106" s="106">
        <f t="shared" si="11"/>
        <v>350442419</v>
      </c>
      <c r="F106" s="110">
        <v>0</v>
      </c>
      <c r="G106" s="110">
        <v>0</v>
      </c>
      <c r="H106" s="110">
        <v>4851146</v>
      </c>
      <c r="I106" s="110">
        <v>0</v>
      </c>
      <c r="J106" s="110">
        <v>0</v>
      </c>
      <c r="K106" s="110">
        <v>345591273</v>
      </c>
      <c r="L106" s="110">
        <v>0</v>
      </c>
      <c r="M106" s="236">
        <v>0</v>
      </c>
      <c r="N106" s="339">
        <f t="shared" si="10"/>
        <v>350442419</v>
      </c>
      <c r="O106" s="110">
        <v>0</v>
      </c>
      <c r="P106" s="110">
        <v>0</v>
      </c>
      <c r="Q106" s="110">
        <v>4851146</v>
      </c>
      <c r="R106" s="110">
        <v>0</v>
      </c>
      <c r="S106" s="110">
        <v>0</v>
      </c>
      <c r="T106" s="110">
        <v>345591273</v>
      </c>
      <c r="U106" s="110">
        <v>0</v>
      </c>
      <c r="V106" s="236">
        <v>0</v>
      </c>
      <c r="W106" s="238">
        <v>542078</v>
      </c>
      <c r="X106" s="212"/>
      <c r="Y106" s="212"/>
    </row>
    <row r="107" spans="1:25" ht="46.5">
      <c r="A107" s="108"/>
      <c r="B107" s="216" t="s">
        <v>1032</v>
      </c>
      <c r="C107" s="216"/>
      <c r="D107" s="215" t="s">
        <v>800</v>
      </c>
      <c r="E107" s="106">
        <f t="shared" si="11"/>
        <v>64779587</v>
      </c>
      <c r="F107" s="110">
        <v>0</v>
      </c>
      <c r="G107" s="110">
        <v>0</v>
      </c>
      <c r="H107" s="110">
        <v>1445895</v>
      </c>
      <c r="I107" s="110">
        <v>0</v>
      </c>
      <c r="J107" s="110">
        <v>0</v>
      </c>
      <c r="K107" s="110">
        <v>63333692</v>
      </c>
      <c r="L107" s="110">
        <v>0</v>
      </c>
      <c r="M107" s="236">
        <v>0</v>
      </c>
      <c r="N107" s="339">
        <f t="shared" si="10"/>
        <v>64779587</v>
      </c>
      <c r="O107" s="110">
        <v>0</v>
      </c>
      <c r="P107" s="110">
        <v>0</v>
      </c>
      <c r="Q107" s="110">
        <v>1445895</v>
      </c>
      <c r="R107" s="110">
        <v>0</v>
      </c>
      <c r="S107" s="110">
        <v>0</v>
      </c>
      <c r="T107" s="110">
        <v>63333692</v>
      </c>
      <c r="U107" s="110">
        <v>0</v>
      </c>
      <c r="V107" s="236">
        <v>0</v>
      </c>
      <c r="W107" s="238">
        <v>542079</v>
      </c>
      <c r="X107" s="212"/>
      <c r="Y107" s="212"/>
    </row>
    <row r="108" spans="1:25" ht="46.5">
      <c r="A108" s="108"/>
      <c r="B108" s="216" t="s">
        <v>1033</v>
      </c>
      <c r="C108" s="216"/>
      <c r="D108" s="215" t="s">
        <v>801</v>
      </c>
      <c r="E108" s="106">
        <f t="shared" si="11"/>
        <v>138542686</v>
      </c>
      <c r="F108" s="110">
        <v>0</v>
      </c>
      <c r="G108" s="110">
        <v>0</v>
      </c>
      <c r="H108" s="110">
        <v>3067812</v>
      </c>
      <c r="I108" s="110">
        <v>0</v>
      </c>
      <c r="J108" s="110">
        <v>0</v>
      </c>
      <c r="K108" s="110">
        <v>135474874</v>
      </c>
      <c r="L108" s="110">
        <v>0</v>
      </c>
      <c r="M108" s="236">
        <v>0</v>
      </c>
      <c r="N108" s="339">
        <f t="shared" si="10"/>
        <v>138542686</v>
      </c>
      <c r="O108" s="110">
        <v>0</v>
      </c>
      <c r="P108" s="110">
        <v>0</v>
      </c>
      <c r="Q108" s="110">
        <v>3067812</v>
      </c>
      <c r="R108" s="110">
        <v>0</v>
      </c>
      <c r="S108" s="110">
        <v>0</v>
      </c>
      <c r="T108" s="110">
        <v>135474874</v>
      </c>
      <c r="U108" s="110">
        <v>0</v>
      </c>
      <c r="V108" s="236">
        <v>0</v>
      </c>
      <c r="W108" s="238">
        <v>542080</v>
      </c>
      <c r="X108" s="212"/>
      <c r="Y108" s="212"/>
    </row>
    <row r="109" spans="1:25" ht="46.5">
      <c r="A109" s="108"/>
      <c r="B109" s="216" t="s">
        <v>1034</v>
      </c>
      <c r="C109" s="216"/>
      <c r="D109" s="215" t="s">
        <v>802</v>
      </c>
      <c r="E109" s="106">
        <f t="shared" si="11"/>
        <v>87569642</v>
      </c>
      <c r="F109" s="110">
        <v>0</v>
      </c>
      <c r="G109" s="110">
        <v>0</v>
      </c>
      <c r="H109" s="110">
        <v>1937385</v>
      </c>
      <c r="I109" s="110">
        <v>0</v>
      </c>
      <c r="J109" s="110">
        <v>0</v>
      </c>
      <c r="K109" s="110">
        <v>85632257</v>
      </c>
      <c r="L109" s="110">
        <v>0</v>
      </c>
      <c r="M109" s="236">
        <v>0</v>
      </c>
      <c r="N109" s="339">
        <f t="shared" si="10"/>
        <v>87569642</v>
      </c>
      <c r="O109" s="110">
        <v>0</v>
      </c>
      <c r="P109" s="110">
        <v>0</v>
      </c>
      <c r="Q109" s="110">
        <v>1937385</v>
      </c>
      <c r="R109" s="110">
        <v>0</v>
      </c>
      <c r="S109" s="110">
        <v>0</v>
      </c>
      <c r="T109" s="110">
        <v>85632257</v>
      </c>
      <c r="U109" s="110">
        <v>0</v>
      </c>
      <c r="V109" s="236">
        <v>0</v>
      </c>
      <c r="W109" s="238">
        <v>542081</v>
      </c>
      <c r="X109" s="212"/>
      <c r="Y109" s="212"/>
    </row>
    <row r="110" spans="1:25" ht="42.75" customHeight="1">
      <c r="A110" s="108"/>
      <c r="B110" s="409" t="s">
        <v>873</v>
      </c>
      <c r="C110" s="409"/>
      <c r="D110" s="409"/>
      <c r="E110" s="106">
        <f t="shared" si="11"/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236">
        <v>0</v>
      </c>
      <c r="N110" s="339">
        <f t="shared" si="10"/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10">
        <v>0</v>
      </c>
      <c r="V110" s="236">
        <v>0</v>
      </c>
      <c r="W110" s="238"/>
      <c r="X110" s="212"/>
      <c r="Y110" s="212"/>
    </row>
    <row r="111" spans="1:25" ht="46.5" customHeight="1">
      <c r="A111" s="108"/>
      <c r="B111" s="216" t="s">
        <v>1035</v>
      </c>
      <c r="C111" s="216"/>
      <c r="D111" s="215" t="s">
        <v>1217</v>
      </c>
      <c r="E111" s="106">
        <f t="shared" si="11"/>
        <v>590000000</v>
      </c>
      <c r="F111" s="110">
        <v>0</v>
      </c>
      <c r="G111" s="110">
        <v>0</v>
      </c>
      <c r="H111" s="110">
        <v>10050780</v>
      </c>
      <c r="I111" s="110">
        <v>0</v>
      </c>
      <c r="J111" s="110">
        <v>0</v>
      </c>
      <c r="K111" s="110">
        <v>579949220</v>
      </c>
      <c r="L111" s="110">
        <v>0</v>
      </c>
      <c r="M111" s="236">
        <v>0</v>
      </c>
      <c r="N111" s="339">
        <f t="shared" si="10"/>
        <v>590000000</v>
      </c>
      <c r="O111" s="110">
        <v>0</v>
      </c>
      <c r="P111" s="110">
        <v>0</v>
      </c>
      <c r="Q111" s="110">
        <v>10050780</v>
      </c>
      <c r="R111" s="110">
        <v>0</v>
      </c>
      <c r="S111" s="110">
        <v>0</v>
      </c>
      <c r="T111" s="110">
        <v>579949220</v>
      </c>
      <c r="U111" s="110">
        <v>0</v>
      </c>
      <c r="V111" s="236">
        <v>0</v>
      </c>
      <c r="W111" s="238">
        <v>542082</v>
      </c>
      <c r="X111" s="212"/>
      <c r="Y111" s="212"/>
    </row>
    <row r="112" spans="1:25" ht="20.25" customHeight="1">
      <c r="A112" s="108"/>
      <c r="B112" s="409" t="s">
        <v>405</v>
      </c>
      <c r="C112" s="409"/>
      <c r="D112" s="409"/>
      <c r="E112" s="106">
        <f t="shared" si="11"/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236">
        <v>0</v>
      </c>
      <c r="N112" s="339">
        <f t="shared" si="10"/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10">
        <v>0</v>
      </c>
      <c r="V112" s="236">
        <v>0</v>
      </c>
      <c r="W112" s="238"/>
      <c r="X112" s="212"/>
      <c r="Y112" s="212"/>
    </row>
    <row r="113" spans="1:25" ht="56.25" customHeight="1">
      <c r="A113" s="108"/>
      <c r="B113" s="216" t="s">
        <v>1036</v>
      </c>
      <c r="C113" s="216"/>
      <c r="D113" s="215" t="s">
        <v>406</v>
      </c>
      <c r="E113" s="106">
        <f t="shared" si="11"/>
        <v>1332221280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1332221280</v>
      </c>
      <c r="L113" s="110">
        <v>0</v>
      </c>
      <c r="M113" s="236">
        <v>0</v>
      </c>
      <c r="N113" s="339">
        <f t="shared" si="10"/>
        <v>1332221280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1332221280</v>
      </c>
      <c r="U113" s="110">
        <v>0</v>
      </c>
      <c r="V113" s="236">
        <v>0</v>
      </c>
      <c r="W113" s="238">
        <v>542083</v>
      </c>
      <c r="X113" s="212"/>
      <c r="Y113" s="212"/>
    </row>
    <row r="114" spans="1:25" ht="56.25" customHeight="1">
      <c r="A114" s="108"/>
      <c r="B114" s="216" t="s">
        <v>1037</v>
      </c>
      <c r="C114" s="216"/>
      <c r="D114" s="215" t="s">
        <v>407</v>
      </c>
      <c r="E114" s="106">
        <f t="shared" si="11"/>
        <v>4497682422</v>
      </c>
      <c r="F114" s="110">
        <v>0</v>
      </c>
      <c r="G114" s="110">
        <v>0</v>
      </c>
      <c r="H114" s="110">
        <v>356725657</v>
      </c>
      <c r="I114" s="110">
        <v>0</v>
      </c>
      <c r="J114" s="110">
        <v>0</v>
      </c>
      <c r="K114" s="110">
        <v>4140956765</v>
      </c>
      <c r="L114" s="110">
        <v>0</v>
      </c>
      <c r="M114" s="236">
        <v>0</v>
      </c>
      <c r="N114" s="339">
        <f t="shared" si="10"/>
        <v>4497682422</v>
      </c>
      <c r="O114" s="110">
        <v>0</v>
      </c>
      <c r="P114" s="110">
        <v>0</v>
      </c>
      <c r="Q114" s="110">
        <v>356725657</v>
      </c>
      <c r="R114" s="110">
        <v>0</v>
      </c>
      <c r="S114" s="110">
        <v>0</v>
      </c>
      <c r="T114" s="110">
        <v>4140956765</v>
      </c>
      <c r="U114" s="110">
        <v>0</v>
      </c>
      <c r="V114" s="236">
        <v>0</v>
      </c>
      <c r="W114" s="238">
        <v>542084</v>
      </c>
      <c r="X114" s="212"/>
      <c r="Y114" s="212"/>
    </row>
    <row r="115" spans="1:25" ht="46.5">
      <c r="A115" s="108"/>
      <c r="B115" s="216" t="s">
        <v>1038</v>
      </c>
      <c r="C115" s="216"/>
      <c r="D115" s="215" t="s">
        <v>408</v>
      </c>
      <c r="E115" s="106">
        <f t="shared" si="11"/>
        <v>8596821960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8596821960</v>
      </c>
      <c r="L115" s="110">
        <v>0</v>
      </c>
      <c r="M115" s="236">
        <v>0</v>
      </c>
      <c r="N115" s="339">
        <f t="shared" si="10"/>
        <v>8596821960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8596821960</v>
      </c>
      <c r="U115" s="110">
        <v>0</v>
      </c>
      <c r="V115" s="236">
        <v>0</v>
      </c>
      <c r="W115" s="238">
        <v>542085</v>
      </c>
      <c r="X115" s="212"/>
      <c r="Y115" s="212"/>
    </row>
    <row r="116" spans="1:25" ht="55.5" customHeight="1">
      <c r="A116" s="108"/>
      <c r="B116" s="216" t="s">
        <v>1039</v>
      </c>
      <c r="C116" s="216"/>
      <c r="D116" s="215" t="s">
        <v>803</v>
      </c>
      <c r="E116" s="106">
        <f t="shared" si="11"/>
        <v>6267450000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6267450000</v>
      </c>
      <c r="L116" s="110">
        <v>0</v>
      </c>
      <c r="M116" s="236">
        <v>0</v>
      </c>
      <c r="N116" s="339">
        <f t="shared" si="10"/>
        <v>6267450000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6267450000</v>
      </c>
      <c r="U116" s="110">
        <v>0</v>
      </c>
      <c r="V116" s="236">
        <v>0</v>
      </c>
      <c r="W116" s="238">
        <v>542086</v>
      </c>
      <c r="X116" s="212"/>
      <c r="Y116" s="212"/>
    </row>
    <row r="117" spans="1:25" ht="20.25" customHeight="1">
      <c r="A117" s="108"/>
      <c r="B117" s="409" t="s">
        <v>874</v>
      </c>
      <c r="C117" s="409"/>
      <c r="D117" s="409"/>
      <c r="E117" s="106">
        <f t="shared" si="11"/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236">
        <v>0</v>
      </c>
      <c r="N117" s="339">
        <f t="shared" si="10"/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10">
        <v>0</v>
      </c>
      <c r="V117" s="236">
        <v>0</v>
      </c>
      <c r="W117" s="238"/>
      <c r="X117" s="212"/>
      <c r="Y117" s="212"/>
    </row>
    <row r="118" spans="1:25" ht="23.25" customHeight="1">
      <c r="A118" s="108"/>
      <c r="B118" s="216" t="s">
        <v>1040</v>
      </c>
      <c r="C118" s="216"/>
      <c r="D118" s="215" t="s">
        <v>805</v>
      </c>
      <c r="E118" s="106">
        <f t="shared" si="11"/>
        <v>69850000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69850000</v>
      </c>
      <c r="L118" s="110">
        <v>0</v>
      </c>
      <c r="M118" s="236">
        <v>0</v>
      </c>
      <c r="N118" s="339">
        <f t="shared" si="10"/>
        <v>69850000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69850000</v>
      </c>
      <c r="U118" s="110">
        <v>0</v>
      </c>
      <c r="V118" s="236">
        <v>0</v>
      </c>
      <c r="W118" s="238">
        <v>542087</v>
      </c>
      <c r="X118" s="212"/>
      <c r="Y118" s="212"/>
    </row>
    <row r="119" spans="1:25" ht="46.5">
      <c r="A119" s="108"/>
      <c r="B119" s="216" t="s">
        <v>1041</v>
      </c>
      <c r="C119" s="216"/>
      <c r="D119" s="215" t="s">
        <v>875</v>
      </c>
      <c r="E119" s="106">
        <f t="shared" si="11"/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236">
        <v>0</v>
      </c>
      <c r="N119" s="339">
        <f t="shared" si="10"/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10">
        <v>0</v>
      </c>
      <c r="V119" s="236">
        <v>0</v>
      </c>
      <c r="W119" s="238">
        <v>542088</v>
      </c>
      <c r="X119" s="212"/>
      <c r="Y119" s="212"/>
    </row>
    <row r="120" spans="1:25" ht="39.75" customHeight="1">
      <c r="A120" s="108"/>
      <c r="B120" s="409" t="s">
        <v>876</v>
      </c>
      <c r="C120" s="409"/>
      <c r="D120" s="409"/>
      <c r="E120" s="106">
        <f t="shared" si="11"/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236">
        <v>0</v>
      </c>
      <c r="N120" s="339">
        <f t="shared" si="10"/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10">
        <v>0</v>
      </c>
      <c r="V120" s="236">
        <v>0</v>
      </c>
      <c r="W120" s="238"/>
      <c r="X120" s="212"/>
      <c r="Y120" s="212"/>
    </row>
    <row r="121" spans="1:25" ht="46.5">
      <c r="A121" s="108"/>
      <c r="B121" s="216" t="s">
        <v>1042</v>
      </c>
      <c r="C121" s="216"/>
      <c r="D121" s="215" t="s">
        <v>1187</v>
      </c>
      <c r="E121" s="106">
        <f aca="true" t="shared" si="12" ref="E121:E131">SUM(F121:M121)</f>
        <v>53120925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53120925</v>
      </c>
      <c r="L121" s="110">
        <v>0</v>
      </c>
      <c r="M121" s="236">
        <v>0</v>
      </c>
      <c r="N121" s="339">
        <f t="shared" si="10"/>
        <v>53120925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53120925</v>
      </c>
      <c r="U121" s="110">
        <v>0</v>
      </c>
      <c r="V121" s="236">
        <v>0</v>
      </c>
      <c r="W121" s="238">
        <v>542089</v>
      </c>
      <c r="X121" s="212"/>
      <c r="Y121" s="212"/>
    </row>
    <row r="122" spans="1:25" ht="46.5">
      <c r="A122" s="108"/>
      <c r="B122" s="216" t="s">
        <v>1043</v>
      </c>
      <c r="C122" s="216"/>
      <c r="D122" s="215" t="s">
        <v>1188</v>
      </c>
      <c r="E122" s="106">
        <f t="shared" si="12"/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236">
        <v>0</v>
      </c>
      <c r="N122" s="339">
        <f t="shared" si="10"/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10">
        <v>0</v>
      </c>
      <c r="V122" s="236">
        <v>0</v>
      </c>
      <c r="W122" s="293">
        <v>542090</v>
      </c>
      <c r="X122" s="212"/>
      <c r="Y122" s="212"/>
    </row>
    <row r="123" spans="1:25" ht="23.25">
      <c r="A123" s="108"/>
      <c r="B123" s="216" t="s">
        <v>1044</v>
      </c>
      <c r="C123" s="216"/>
      <c r="D123" s="215" t="s">
        <v>877</v>
      </c>
      <c r="E123" s="106">
        <f t="shared" si="12"/>
        <v>10269746</v>
      </c>
      <c r="F123" s="110">
        <v>0</v>
      </c>
      <c r="G123" s="110">
        <v>0</v>
      </c>
      <c r="H123" s="110">
        <v>10269746</v>
      </c>
      <c r="I123" s="110">
        <v>0</v>
      </c>
      <c r="J123" s="110">
        <v>0</v>
      </c>
      <c r="K123" s="110">
        <v>0</v>
      </c>
      <c r="L123" s="110">
        <v>0</v>
      </c>
      <c r="M123" s="236">
        <v>0</v>
      </c>
      <c r="N123" s="339">
        <f t="shared" si="10"/>
        <v>10269746</v>
      </c>
      <c r="O123" s="110">
        <v>0</v>
      </c>
      <c r="P123" s="110">
        <v>0</v>
      </c>
      <c r="Q123" s="110">
        <v>10269746</v>
      </c>
      <c r="R123" s="110">
        <v>0</v>
      </c>
      <c r="S123" s="110">
        <v>0</v>
      </c>
      <c r="T123" s="110">
        <v>0</v>
      </c>
      <c r="U123" s="110">
        <v>0</v>
      </c>
      <c r="V123" s="236">
        <v>0</v>
      </c>
      <c r="W123" s="238">
        <v>542091</v>
      </c>
      <c r="X123" s="212"/>
      <c r="Y123" s="212"/>
    </row>
    <row r="124" spans="1:25" ht="46.5">
      <c r="A124" s="108"/>
      <c r="B124" s="216" t="s">
        <v>1045</v>
      </c>
      <c r="C124" s="216"/>
      <c r="D124" s="215" t="s">
        <v>804</v>
      </c>
      <c r="E124" s="106">
        <f t="shared" si="12"/>
        <v>19058218</v>
      </c>
      <c r="F124" s="110">
        <v>0</v>
      </c>
      <c r="G124" s="110">
        <v>0</v>
      </c>
      <c r="H124" s="110">
        <v>160020</v>
      </c>
      <c r="I124" s="110">
        <v>0</v>
      </c>
      <c r="J124" s="110">
        <v>0</v>
      </c>
      <c r="K124" s="110">
        <v>18898198</v>
      </c>
      <c r="L124" s="110">
        <v>0</v>
      </c>
      <c r="M124" s="236">
        <v>0</v>
      </c>
      <c r="N124" s="339">
        <f t="shared" si="10"/>
        <v>19058218</v>
      </c>
      <c r="O124" s="110">
        <v>0</v>
      </c>
      <c r="P124" s="110">
        <v>0</v>
      </c>
      <c r="Q124" s="110">
        <v>160020</v>
      </c>
      <c r="R124" s="110">
        <v>0</v>
      </c>
      <c r="S124" s="110">
        <v>0</v>
      </c>
      <c r="T124" s="110">
        <v>18898198</v>
      </c>
      <c r="U124" s="110">
        <v>0</v>
      </c>
      <c r="V124" s="236">
        <v>0</v>
      </c>
      <c r="W124" s="238">
        <v>542092</v>
      </c>
      <c r="X124" s="212"/>
      <c r="Y124" s="212"/>
    </row>
    <row r="125" spans="1:25" ht="46.5">
      <c r="A125" s="108"/>
      <c r="B125" s="216" t="s">
        <v>1046</v>
      </c>
      <c r="C125" s="216"/>
      <c r="D125" s="215" t="s">
        <v>807</v>
      </c>
      <c r="E125" s="106">
        <f t="shared" si="12"/>
        <v>35362444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35362444</v>
      </c>
      <c r="L125" s="110">
        <v>0</v>
      </c>
      <c r="M125" s="236">
        <v>0</v>
      </c>
      <c r="N125" s="339">
        <f t="shared" si="10"/>
        <v>35362444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35362444</v>
      </c>
      <c r="U125" s="110">
        <v>0</v>
      </c>
      <c r="V125" s="236">
        <v>0</v>
      </c>
      <c r="W125" s="238">
        <v>542093</v>
      </c>
      <c r="X125" s="212"/>
      <c r="Y125" s="212"/>
    </row>
    <row r="126" spans="1:25" ht="23.25">
      <c r="A126" s="108"/>
      <c r="B126" s="216" t="s">
        <v>1047</v>
      </c>
      <c r="C126" s="216"/>
      <c r="D126" s="215" t="s">
        <v>1083</v>
      </c>
      <c r="E126" s="106">
        <f t="shared" si="12"/>
        <v>23000000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23000000</v>
      </c>
      <c r="L126" s="110">
        <v>0</v>
      </c>
      <c r="M126" s="236">
        <v>0</v>
      </c>
      <c r="N126" s="339">
        <f t="shared" si="10"/>
        <v>23000000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23000000</v>
      </c>
      <c r="U126" s="110">
        <v>0</v>
      </c>
      <c r="V126" s="236">
        <v>0</v>
      </c>
      <c r="W126" s="238">
        <v>542094</v>
      </c>
      <c r="X126" s="212"/>
      <c r="Y126" s="212"/>
    </row>
    <row r="127" spans="1:25" ht="39.75" customHeight="1">
      <c r="A127" s="108"/>
      <c r="B127" s="409" t="s">
        <v>409</v>
      </c>
      <c r="C127" s="409"/>
      <c r="D127" s="409"/>
      <c r="E127" s="106">
        <f t="shared" si="12"/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236">
        <v>0</v>
      </c>
      <c r="N127" s="339">
        <f t="shared" si="10"/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10">
        <v>0</v>
      </c>
      <c r="V127" s="236">
        <v>0</v>
      </c>
      <c r="W127" s="238"/>
      <c r="X127" s="212"/>
      <c r="Y127" s="212"/>
    </row>
    <row r="128" spans="1:25" ht="23.25">
      <c r="A128" s="108"/>
      <c r="B128" s="216" t="s">
        <v>1048</v>
      </c>
      <c r="C128" s="216"/>
      <c r="D128" s="215" t="s">
        <v>410</v>
      </c>
      <c r="E128" s="106">
        <f t="shared" si="12"/>
        <v>10000000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10000000</v>
      </c>
      <c r="L128" s="110">
        <v>0</v>
      </c>
      <c r="M128" s="236">
        <v>0</v>
      </c>
      <c r="N128" s="339">
        <f t="shared" si="10"/>
        <v>10000000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10000000</v>
      </c>
      <c r="U128" s="110">
        <v>0</v>
      </c>
      <c r="V128" s="236">
        <v>0</v>
      </c>
      <c r="W128" s="238">
        <v>542095</v>
      </c>
      <c r="X128" s="212"/>
      <c r="Y128" s="212"/>
    </row>
    <row r="129" spans="1:25" ht="46.5">
      <c r="A129" s="108"/>
      <c r="B129" s="216" t="s">
        <v>1049</v>
      </c>
      <c r="C129" s="216"/>
      <c r="D129" s="215" t="s">
        <v>411</v>
      </c>
      <c r="E129" s="106">
        <f t="shared" si="12"/>
        <v>1501072163</v>
      </c>
      <c r="F129" s="110">
        <v>0</v>
      </c>
      <c r="G129" s="110">
        <v>0</v>
      </c>
      <c r="H129" s="110">
        <v>750560</v>
      </c>
      <c r="I129" s="110">
        <v>0</v>
      </c>
      <c r="J129" s="110">
        <v>0</v>
      </c>
      <c r="K129" s="110">
        <v>1500321603</v>
      </c>
      <c r="L129" s="110">
        <v>0</v>
      </c>
      <c r="M129" s="236">
        <v>0</v>
      </c>
      <c r="N129" s="339">
        <f t="shared" si="10"/>
        <v>1501072163</v>
      </c>
      <c r="O129" s="110">
        <v>0</v>
      </c>
      <c r="P129" s="110">
        <v>0</v>
      </c>
      <c r="Q129" s="110">
        <v>750560</v>
      </c>
      <c r="R129" s="110">
        <v>0</v>
      </c>
      <c r="S129" s="110">
        <v>0</v>
      </c>
      <c r="T129" s="110">
        <v>1500321603</v>
      </c>
      <c r="U129" s="110">
        <v>0</v>
      </c>
      <c r="V129" s="236">
        <v>0</v>
      </c>
      <c r="W129" s="238">
        <v>542096</v>
      </c>
      <c r="X129" s="212"/>
      <c r="Y129" s="212"/>
    </row>
    <row r="130" spans="1:25" ht="46.5">
      <c r="A130" s="108"/>
      <c r="B130" s="216" t="s">
        <v>1050</v>
      </c>
      <c r="C130" s="216"/>
      <c r="D130" s="215" t="s">
        <v>412</v>
      </c>
      <c r="E130" s="106">
        <f t="shared" si="12"/>
        <v>101973823</v>
      </c>
      <c r="F130" s="110">
        <v>0</v>
      </c>
      <c r="G130" s="110">
        <v>0</v>
      </c>
      <c r="H130" s="110">
        <v>706363</v>
      </c>
      <c r="I130" s="110">
        <v>0</v>
      </c>
      <c r="J130" s="110">
        <v>0</v>
      </c>
      <c r="K130" s="110">
        <v>101267460</v>
      </c>
      <c r="L130" s="110">
        <v>0</v>
      </c>
      <c r="M130" s="236">
        <v>0</v>
      </c>
      <c r="N130" s="339">
        <f t="shared" si="10"/>
        <v>101973823</v>
      </c>
      <c r="O130" s="110">
        <v>0</v>
      </c>
      <c r="P130" s="110">
        <v>0</v>
      </c>
      <c r="Q130" s="110">
        <v>706363</v>
      </c>
      <c r="R130" s="110">
        <v>0</v>
      </c>
      <c r="S130" s="110">
        <v>0</v>
      </c>
      <c r="T130" s="110">
        <v>101267460</v>
      </c>
      <c r="U130" s="110">
        <v>0</v>
      </c>
      <c r="V130" s="236">
        <v>0</v>
      </c>
      <c r="W130" s="238">
        <v>542097</v>
      </c>
      <c r="X130" s="212"/>
      <c r="Y130" s="212"/>
    </row>
    <row r="131" spans="1:25" ht="46.5">
      <c r="A131" s="108"/>
      <c r="B131" s="216" t="s">
        <v>1051</v>
      </c>
      <c r="C131" s="216"/>
      <c r="D131" s="215" t="s">
        <v>413</v>
      </c>
      <c r="E131" s="106">
        <f t="shared" si="12"/>
        <v>213142675</v>
      </c>
      <c r="F131" s="110">
        <v>0</v>
      </c>
      <c r="G131" s="110">
        <v>0</v>
      </c>
      <c r="H131" s="110">
        <v>17487265</v>
      </c>
      <c r="I131" s="110">
        <v>0</v>
      </c>
      <c r="J131" s="110">
        <v>0</v>
      </c>
      <c r="K131" s="110">
        <v>195655410</v>
      </c>
      <c r="L131" s="110">
        <v>0</v>
      </c>
      <c r="M131" s="236">
        <v>0</v>
      </c>
      <c r="N131" s="339">
        <f t="shared" si="10"/>
        <v>213142675</v>
      </c>
      <c r="O131" s="110">
        <v>0</v>
      </c>
      <c r="P131" s="110">
        <v>0</v>
      </c>
      <c r="Q131" s="110">
        <v>17487265</v>
      </c>
      <c r="R131" s="110">
        <v>0</v>
      </c>
      <c r="S131" s="110">
        <v>0</v>
      </c>
      <c r="T131" s="110">
        <v>195655410</v>
      </c>
      <c r="U131" s="110">
        <v>0</v>
      </c>
      <c r="V131" s="236">
        <v>0</v>
      </c>
      <c r="W131" s="238">
        <v>542098</v>
      </c>
      <c r="X131" s="212"/>
      <c r="Y131" s="212"/>
    </row>
    <row r="132" spans="1:25" ht="23.25">
      <c r="A132" s="108"/>
      <c r="B132" s="216" t="s">
        <v>1052</v>
      </c>
      <c r="C132" s="216"/>
      <c r="D132" s="215" t="s">
        <v>414</v>
      </c>
      <c r="E132" s="106">
        <f aca="true" t="shared" si="13" ref="E132:E159">SUM(F132:M132)</f>
        <v>61976467</v>
      </c>
      <c r="F132" s="110">
        <v>0</v>
      </c>
      <c r="G132" s="110">
        <v>0</v>
      </c>
      <c r="H132" s="110">
        <v>3339727</v>
      </c>
      <c r="I132" s="110">
        <v>0</v>
      </c>
      <c r="J132" s="110">
        <v>0</v>
      </c>
      <c r="K132" s="110">
        <v>46000000</v>
      </c>
      <c r="L132" s="110">
        <v>12636740</v>
      </c>
      <c r="M132" s="236">
        <v>0</v>
      </c>
      <c r="N132" s="339">
        <f t="shared" si="10"/>
        <v>61976467</v>
      </c>
      <c r="O132" s="110">
        <v>0</v>
      </c>
      <c r="P132" s="110">
        <v>0</v>
      </c>
      <c r="Q132" s="110">
        <v>3339727</v>
      </c>
      <c r="R132" s="110">
        <v>0</v>
      </c>
      <c r="S132" s="110">
        <v>0</v>
      </c>
      <c r="T132" s="110">
        <v>46000000</v>
      </c>
      <c r="U132" s="110">
        <v>12636740</v>
      </c>
      <c r="V132" s="236">
        <v>0</v>
      </c>
      <c r="W132" s="238">
        <v>542099</v>
      </c>
      <c r="X132" s="212"/>
      <c r="Y132" s="212"/>
    </row>
    <row r="133" spans="1:25" ht="46.5">
      <c r="A133" s="108"/>
      <c r="B133" s="216" t="s">
        <v>1053</v>
      </c>
      <c r="C133" s="216"/>
      <c r="D133" s="215" t="s">
        <v>415</v>
      </c>
      <c r="E133" s="106">
        <f t="shared" si="13"/>
        <v>12000000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12000000</v>
      </c>
      <c r="L133" s="110">
        <v>0</v>
      </c>
      <c r="M133" s="236">
        <v>0</v>
      </c>
      <c r="N133" s="339">
        <f t="shared" si="10"/>
        <v>12000000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12000000</v>
      </c>
      <c r="U133" s="110">
        <v>0</v>
      </c>
      <c r="V133" s="236">
        <v>0</v>
      </c>
      <c r="W133" s="238">
        <v>542100</v>
      </c>
      <c r="X133" s="212"/>
      <c r="Y133" s="212"/>
    </row>
    <row r="134" spans="1:25" ht="23.25">
      <c r="A134" s="108"/>
      <c r="B134" s="216" t="s">
        <v>1054</v>
      </c>
      <c r="C134" s="216"/>
      <c r="D134" s="215" t="s">
        <v>900</v>
      </c>
      <c r="E134" s="106">
        <f t="shared" si="13"/>
        <v>16301670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16301670</v>
      </c>
      <c r="L134" s="110">
        <v>0</v>
      </c>
      <c r="M134" s="236">
        <v>0</v>
      </c>
      <c r="N134" s="339">
        <f t="shared" si="10"/>
        <v>16301670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16301670</v>
      </c>
      <c r="U134" s="110">
        <v>0</v>
      </c>
      <c r="V134" s="236">
        <v>0</v>
      </c>
      <c r="W134" s="238">
        <v>542101</v>
      </c>
      <c r="X134" s="212"/>
      <c r="Y134" s="212"/>
    </row>
    <row r="135" spans="1:25" ht="46.5">
      <c r="A135" s="108"/>
      <c r="B135" s="216" t="s">
        <v>1055</v>
      </c>
      <c r="C135" s="216"/>
      <c r="D135" s="215" t="s">
        <v>416</v>
      </c>
      <c r="E135" s="106">
        <f t="shared" si="13"/>
        <v>72825093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50082550</v>
      </c>
      <c r="L135" s="110">
        <v>22742543</v>
      </c>
      <c r="M135" s="236">
        <v>0</v>
      </c>
      <c r="N135" s="339">
        <f t="shared" si="10"/>
        <v>72825093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50082550</v>
      </c>
      <c r="U135" s="110">
        <v>22742543</v>
      </c>
      <c r="V135" s="236">
        <v>0</v>
      </c>
      <c r="W135" s="238">
        <v>542102</v>
      </c>
      <c r="X135" s="212"/>
      <c r="Y135" s="212"/>
    </row>
    <row r="136" spans="1:25" ht="23.25">
      <c r="A136" s="108"/>
      <c r="B136" s="216" t="s">
        <v>1056</v>
      </c>
      <c r="C136" s="216"/>
      <c r="D136" s="215" t="s">
        <v>417</v>
      </c>
      <c r="E136" s="106">
        <f t="shared" si="13"/>
        <v>26010900</v>
      </c>
      <c r="F136" s="110">
        <v>0</v>
      </c>
      <c r="G136" s="110">
        <v>0</v>
      </c>
      <c r="H136" s="110">
        <v>11010900</v>
      </c>
      <c r="I136" s="110">
        <v>0</v>
      </c>
      <c r="J136" s="110">
        <v>0</v>
      </c>
      <c r="K136" s="110">
        <v>15000000</v>
      </c>
      <c r="L136" s="110">
        <v>0</v>
      </c>
      <c r="M136" s="236">
        <v>0</v>
      </c>
      <c r="N136" s="339">
        <f t="shared" si="10"/>
        <v>26010900</v>
      </c>
      <c r="O136" s="110">
        <v>0</v>
      </c>
      <c r="P136" s="110">
        <v>0</v>
      </c>
      <c r="Q136" s="110">
        <v>11010900</v>
      </c>
      <c r="R136" s="110">
        <v>0</v>
      </c>
      <c r="S136" s="110">
        <v>0</v>
      </c>
      <c r="T136" s="110">
        <v>15000000</v>
      </c>
      <c r="U136" s="110">
        <v>0</v>
      </c>
      <c r="V136" s="236">
        <v>0</v>
      </c>
      <c r="W136" s="238">
        <v>542103</v>
      </c>
      <c r="X136" s="212"/>
      <c r="Y136" s="212"/>
    </row>
    <row r="137" spans="1:25" ht="23.25">
      <c r="A137" s="108"/>
      <c r="B137" s="216" t="s">
        <v>1057</v>
      </c>
      <c r="C137" s="216"/>
      <c r="D137" s="215" t="s">
        <v>418</v>
      </c>
      <c r="E137" s="106">
        <f t="shared" si="13"/>
        <v>63455927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63455927</v>
      </c>
      <c r="L137" s="110">
        <v>0</v>
      </c>
      <c r="M137" s="236">
        <v>0</v>
      </c>
      <c r="N137" s="339">
        <f t="shared" si="10"/>
        <v>63455927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63455927</v>
      </c>
      <c r="U137" s="110">
        <v>0</v>
      </c>
      <c r="V137" s="236">
        <v>0</v>
      </c>
      <c r="W137" s="238">
        <v>542104</v>
      </c>
      <c r="X137" s="212"/>
      <c r="Y137" s="212"/>
    </row>
    <row r="138" spans="1:25" ht="46.5">
      <c r="A138" s="108"/>
      <c r="B138" s="216" t="s">
        <v>1058</v>
      </c>
      <c r="C138" s="216"/>
      <c r="D138" s="215" t="s">
        <v>1210</v>
      </c>
      <c r="E138" s="106">
        <f t="shared" si="13"/>
        <v>40000000</v>
      </c>
      <c r="F138" s="110"/>
      <c r="G138" s="110"/>
      <c r="H138" s="110"/>
      <c r="I138" s="110"/>
      <c r="J138" s="110"/>
      <c r="K138" s="110">
        <v>0</v>
      </c>
      <c r="L138" s="110">
        <v>40000000</v>
      </c>
      <c r="M138" s="236">
        <v>0</v>
      </c>
      <c r="N138" s="339">
        <f t="shared" si="10"/>
        <v>40000000</v>
      </c>
      <c r="O138" s="110"/>
      <c r="P138" s="110"/>
      <c r="Q138" s="110"/>
      <c r="R138" s="110"/>
      <c r="S138" s="110"/>
      <c r="T138" s="110">
        <v>0</v>
      </c>
      <c r="U138" s="110">
        <v>40000000</v>
      </c>
      <c r="V138" s="236">
        <v>0</v>
      </c>
      <c r="W138" s="238">
        <v>542105</v>
      </c>
      <c r="X138" s="212"/>
      <c r="Y138" s="212"/>
    </row>
    <row r="139" spans="1:25" ht="23.25" customHeight="1">
      <c r="A139" s="108"/>
      <c r="B139" s="216" t="s">
        <v>1059</v>
      </c>
      <c r="C139" s="216"/>
      <c r="D139" s="215" t="s">
        <v>1139</v>
      </c>
      <c r="E139" s="106">
        <f t="shared" si="13"/>
        <v>6000000</v>
      </c>
      <c r="F139" s="110"/>
      <c r="G139" s="110"/>
      <c r="H139" s="110"/>
      <c r="I139" s="110"/>
      <c r="J139" s="110"/>
      <c r="K139" s="110">
        <v>0</v>
      </c>
      <c r="L139" s="110">
        <v>6000000</v>
      </c>
      <c r="M139" s="236">
        <v>0</v>
      </c>
      <c r="N139" s="339">
        <f t="shared" si="10"/>
        <v>6000000</v>
      </c>
      <c r="O139" s="110"/>
      <c r="P139" s="110"/>
      <c r="Q139" s="110"/>
      <c r="R139" s="110"/>
      <c r="S139" s="110"/>
      <c r="T139" s="110">
        <v>0</v>
      </c>
      <c r="U139" s="110">
        <v>6000000</v>
      </c>
      <c r="V139" s="236">
        <v>0</v>
      </c>
      <c r="W139" s="238">
        <v>542106</v>
      </c>
      <c r="X139" s="212"/>
      <c r="Y139" s="212"/>
    </row>
    <row r="140" spans="1:25" ht="46.5">
      <c r="A140" s="108"/>
      <c r="B140" s="216" t="s">
        <v>1060</v>
      </c>
      <c r="C140" s="216"/>
      <c r="D140" s="215" t="s">
        <v>1231</v>
      </c>
      <c r="E140" s="106">
        <f t="shared" si="13"/>
        <v>32000000</v>
      </c>
      <c r="F140" s="110"/>
      <c r="G140" s="110"/>
      <c r="H140" s="110"/>
      <c r="I140" s="110"/>
      <c r="J140" s="110"/>
      <c r="K140" s="110">
        <v>32000000</v>
      </c>
      <c r="L140" s="110">
        <v>0</v>
      </c>
      <c r="M140" s="236">
        <v>0</v>
      </c>
      <c r="N140" s="339">
        <f t="shared" si="10"/>
        <v>32000000</v>
      </c>
      <c r="O140" s="110"/>
      <c r="P140" s="110"/>
      <c r="Q140" s="110"/>
      <c r="R140" s="110"/>
      <c r="S140" s="110"/>
      <c r="T140" s="110">
        <v>32000000</v>
      </c>
      <c r="U140" s="110">
        <v>0</v>
      </c>
      <c r="V140" s="236">
        <v>0</v>
      </c>
      <c r="W140" s="238">
        <v>542107</v>
      </c>
      <c r="X140" s="212"/>
      <c r="Y140" s="212"/>
    </row>
    <row r="141" spans="1:25" ht="46.5">
      <c r="A141" s="108"/>
      <c r="B141" s="216" t="s">
        <v>1061</v>
      </c>
      <c r="C141" s="216"/>
      <c r="D141" s="214" t="s">
        <v>1140</v>
      </c>
      <c r="E141" s="106">
        <f t="shared" si="13"/>
        <v>30000000</v>
      </c>
      <c r="F141" s="110"/>
      <c r="G141" s="110"/>
      <c r="H141" s="110"/>
      <c r="I141" s="110"/>
      <c r="J141" s="110"/>
      <c r="K141" s="110">
        <v>0</v>
      </c>
      <c r="L141" s="110">
        <v>30000000</v>
      </c>
      <c r="M141" s="236">
        <v>0</v>
      </c>
      <c r="N141" s="339">
        <f t="shared" si="10"/>
        <v>30000000</v>
      </c>
      <c r="O141" s="110"/>
      <c r="P141" s="110"/>
      <c r="Q141" s="110"/>
      <c r="R141" s="110"/>
      <c r="S141" s="110"/>
      <c r="T141" s="110">
        <v>0</v>
      </c>
      <c r="U141" s="110">
        <v>30000000</v>
      </c>
      <c r="V141" s="236">
        <v>0</v>
      </c>
      <c r="W141" s="238">
        <v>542108</v>
      </c>
      <c r="X141" s="212"/>
      <c r="Y141" s="212"/>
    </row>
    <row r="142" spans="1:25" ht="23.25">
      <c r="A142" s="108"/>
      <c r="B142" s="216" t="s">
        <v>1062</v>
      </c>
      <c r="C142" s="216"/>
      <c r="D142" s="214" t="s">
        <v>1141</v>
      </c>
      <c r="E142" s="106">
        <f t="shared" si="13"/>
        <v>0</v>
      </c>
      <c r="F142" s="110"/>
      <c r="G142" s="110"/>
      <c r="H142" s="110"/>
      <c r="I142" s="110"/>
      <c r="J142" s="110"/>
      <c r="K142" s="110">
        <v>0</v>
      </c>
      <c r="L142" s="110">
        <v>0</v>
      </c>
      <c r="M142" s="236">
        <v>0</v>
      </c>
      <c r="N142" s="339">
        <f t="shared" si="10"/>
        <v>0</v>
      </c>
      <c r="O142" s="110"/>
      <c r="P142" s="110"/>
      <c r="Q142" s="110"/>
      <c r="R142" s="110"/>
      <c r="S142" s="110"/>
      <c r="T142" s="110">
        <v>0</v>
      </c>
      <c r="U142" s="110">
        <v>0</v>
      </c>
      <c r="V142" s="236">
        <v>0</v>
      </c>
      <c r="W142" s="238">
        <v>542109</v>
      </c>
      <c r="X142" s="212"/>
      <c r="Y142" s="212"/>
    </row>
    <row r="143" spans="1:25" ht="44.25" customHeight="1">
      <c r="A143" s="108"/>
      <c r="B143" s="216" t="s">
        <v>1063</v>
      </c>
      <c r="C143" s="216"/>
      <c r="D143" s="225" t="s">
        <v>1508</v>
      </c>
      <c r="E143" s="106">
        <f t="shared" si="13"/>
        <v>18884900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18884900</v>
      </c>
      <c r="M143" s="236">
        <v>0</v>
      </c>
      <c r="N143" s="339">
        <f t="shared" si="10"/>
        <v>18884900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10">
        <v>18884900</v>
      </c>
      <c r="V143" s="236">
        <v>0</v>
      </c>
      <c r="W143" s="238">
        <v>542110</v>
      </c>
      <c r="X143" s="212"/>
      <c r="Y143" s="212"/>
    </row>
    <row r="144" spans="1:25" ht="46.5">
      <c r="A144" s="108"/>
      <c r="B144" s="216" t="s">
        <v>1064</v>
      </c>
      <c r="C144" s="216"/>
      <c r="D144" s="215" t="s">
        <v>419</v>
      </c>
      <c r="E144" s="106">
        <f t="shared" si="13"/>
        <v>5108617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5108617</v>
      </c>
      <c r="L144" s="110">
        <v>0</v>
      </c>
      <c r="M144" s="236">
        <v>0</v>
      </c>
      <c r="N144" s="339">
        <f t="shared" si="10"/>
        <v>5108617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5108617</v>
      </c>
      <c r="U144" s="110">
        <v>0</v>
      </c>
      <c r="V144" s="236">
        <v>0</v>
      </c>
      <c r="W144" s="238">
        <v>542111</v>
      </c>
      <c r="X144" s="212"/>
      <c r="Y144" s="212"/>
    </row>
    <row r="145" spans="1:25" ht="46.5">
      <c r="A145" s="108"/>
      <c r="B145" s="216" t="s">
        <v>1065</v>
      </c>
      <c r="C145" s="216"/>
      <c r="D145" s="215" t="s">
        <v>420</v>
      </c>
      <c r="E145" s="106">
        <f t="shared" si="13"/>
        <v>8147135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8147135</v>
      </c>
      <c r="L145" s="110">
        <v>0</v>
      </c>
      <c r="M145" s="236">
        <v>0</v>
      </c>
      <c r="N145" s="339">
        <f t="shared" si="10"/>
        <v>8147135</v>
      </c>
      <c r="O145" s="110">
        <v>0</v>
      </c>
      <c r="P145" s="110">
        <v>0</v>
      </c>
      <c r="Q145" s="110">
        <v>0</v>
      </c>
      <c r="R145" s="110">
        <v>0</v>
      </c>
      <c r="S145" s="110">
        <v>0</v>
      </c>
      <c r="T145" s="110">
        <v>8147135</v>
      </c>
      <c r="U145" s="110">
        <v>0</v>
      </c>
      <c r="V145" s="236">
        <v>0</v>
      </c>
      <c r="W145" s="238">
        <v>542112</v>
      </c>
      <c r="X145" s="212"/>
      <c r="Y145" s="212"/>
    </row>
    <row r="146" spans="1:25" ht="23.25">
      <c r="A146" s="108"/>
      <c r="B146" s="216" t="s">
        <v>1066</v>
      </c>
      <c r="C146" s="216"/>
      <c r="D146" s="215" t="s">
        <v>806</v>
      </c>
      <c r="E146" s="106">
        <f t="shared" si="13"/>
        <v>10000000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10000000</v>
      </c>
      <c r="L146" s="110">
        <v>0</v>
      </c>
      <c r="M146" s="236">
        <v>0</v>
      </c>
      <c r="N146" s="339">
        <f aca="true" t="shared" si="14" ref="N146:N159">SUM(O146:V146)</f>
        <v>10000000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10000000</v>
      </c>
      <c r="U146" s="110">
        <v>0</v>
      </c>
      <c r="V146" s="236">
        <v>0</v>
      </c>
      <c r="W146" s="238">
        <v>542113</v>
      </c>
      <c r="X146" s="212"/>
      <c r="Y146" s="212"/>
    </row>
    <row r="147" spans="1:25" ht="46.5">
      <c r="A147" s="108"/>
      <c r="B147" s="216" t="s">
        <v>1067</v>
      </c>
      <c r="C147" s="216"/>
      <c r="D147" s="215" t="s">
        <v>808</v>
      </c>
      <c r="E147" s="106">
        <f t="shared" si="13"/>
        <v>23391130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8000000</v>
      </c>
      <c r="L147" s="110">
        <v>15391130</v>
      </c>
      <c r="M147" s="236">
        <v>0</v>
      </c>
      <c r="N147" s="339">
        <f t="shared" si="14"/>
        <v>23391130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8000000</v>
      </c>
      <c r="U147" s="110">
        <v>15391130</v>
      </c>
      <c r="V147" s="236">
        <v>0</v>
      </c>
      <c r="W147" s="238">
        <v>542114</v>
      </c>
      <c r="X147" s="212"/>
      <c r="Y147" s="212"/>
    </row>
    <row r="148" spans="1:25" ht="23.25">
      <c r="A148" s="108"/>
      <c r="B148" s="216" t="s">
        <v>1068</v>
      </c>
      <c r="C148" s="216"/>
      <c r="D148" s="215" t="s">
        <v>878</v>
      </c>
      <c r="E148" s="106">
        <f>SUM(F148:M148)</f>
        <v>32022092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32022092</v>
      </c>
      <c r="L148" s="110">
        <v>0</v>
      </c>
      <c r="M148" s="236">
        <v>0</v>
      </c>
      <c r="N148" s="339">
        <f t="shared" si="14"/>
        <v>32022092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32022092</v>
      </c>
      <c r="U148" s="110">
        <v>0</v>
      </c>
      <c r="V148" s="236">
        <v>0</v>
      </c>
      <c r="W148" s="238">
        <v>542115</v>
      </c>
      <c r="X148" s="212"/>
      <c r="Y148" s="212"/>
    </row>
    <row r="149" spans="1:25" ht="23.25">
      <c r="A149" s="108"/>
      <c r="B149" s="216" t="s">
        <v>1069</v>
      </c>
      <c r="C149" s="216"/>
      <c r="D149" s="215" t="s">
        <v>879</v>
      </c>
      <c r="E149" s="106">
        <f t="shared" si="13"/>
        <v>25965678</v>
      </c>
      <c r="F149" s="110">
        <v>0</v>
      </c>
      <c r="G149" s="110">
        <v>0</v>
      </c>
      <c r="H149" s="110">
        <v>5325187</v>
      </c>
      <c r="I149" s="110">
        <v>0</v>
      </c>
      <c r="J149" s="110">
        <v>0</v>
      </c>
      <c r="K149" s="110">
        <v>20640491</v>
      </c>
      <c r="L149" s="110">
        <v>0</v>
      </c>
      <c r="M149" s="236">
        <v>0</v>
      </c>
      <c r="N149" s="339">
        <f t="shared" si="14"/>
        <v>25965678</v>
      </c>
      <c r="O149" s="110">
        <v>0</v>
      </c>
      <c r="P149" s="110">
        <v>0</v>
      </c>
      <c r="Q149" s="110">
        <v>5325187</v>
      </c>
      <c r="R149" s="110">
        <v>0</v>
      </c>
      <c r="S149" s="110">
        <v>0</v>
      </c>
      <c r="T149" s="110">
        <v>20640491</v>
      </c>
      <c r="U149" s="110">
        <v>0</v>
      </c>
      <c r="V149" s="236">
        <v>0</v>
      </c>
      <c r="W149" s="238">
        <v>542116</v>
      </c>
      <c r="X149" s="212"/>
      <c r="Y149" s="212"/>
    </row>
    <row r="150" spans="1:25" ht="23.25">
      <c r="A150" s="108"/>
      <c r="B150" s="216" t="s">
        <v>1070</v>
      </c>
      <c r="C150" s="216"/>
      <c r="D150" s="215" t="s">
        <v>880</v>
      </c>
      <c r="E150" s="106">
        <f t="shared" si="13"/>
        <v>40000000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40000000</v>
      </c>
      <c r="L150" s="110">
        <v>0</v>
      </c>
      <c r="M150" s="237">
        <v>0</v>
      </c>
      <c r="N150" s="339">
        <f t="shared" si="14"/>
        <v>40000000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40000000</v>
      </c>
      <c r="U150" s="110">
        <v>0</v>
      </c>
      <c r="V150" s="237">
        <v>0</v>
      </c>
      <c r="W150" s="238">
        <v>542117</v>
      </c>
      <c r="X150" s="212"/>
      <c r="Y150" s="212"/>
    </row>
    <row r="151" spans="1:25" ht="69.75" customHeight="1">
      <c r="A151" s="108"/>
      <c r="B151" s="216" t="s">
        <v>1071</v>
      </c>
      <c r="C151" s="216"/>
      <c r="D151" s="217" t="s">
        <v>1142</v>
      </c>
      <c r="E151" s="106">
        <f t="shared" si="13"/>
        <v>5000000</v>
      </c>
      <c r="F151" s="110"/>
      <c r="G151" s="110"/>
      <c r="H151" s="110"/>
      <c r="I151" s="110"/>
      <c r="J151" s="110"/>
      <c r="K151" s="110">
        <v>5000000</v>
      </c>
      <c r="L151" s="110">
        <v>0</v>
      </c>
      <c r="M151" s="237">
        <v>0</v>
      </c>
      <c r="N151" s="339">
        <f t="shared" si="14"/>
        <v>5000000</v>
      </c>
      <c r="O151" s="110"/>
      <c r="P151" s="110"/>
      <c r="Q151" s="110"/>
      <c r="R151" s="110"/>
      <c r="S151" s="110"/>
      <c r="T151" s="110">
        <v>5000000</v>
      </c>
      <c r="U151" s="110">
        <v>0</v>
      </c>
      <c r="V151" s="237">
        <v>0</v>
      </c>
      <c r="W151" s="238">
        <v>542118</v>
      </c>
      <c r="X151" s="212"/>
      <c r="Y151" s="212"/>
    </row>
    <row r="152" spans="1:25" ht="23.25">
      <c r="A152" s="108"/>
      <c r="B152" s="216" t="s">
        <v>1072</v>
      </c>
      <c r="C152" s="216"/>
      <c r="D152" s="215" t="s">
        <v>1218</v>
      </c>
      <c r="E152" s="106">
        <f t="shared" si="13"/>
        <v>107778697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107778697</v>
      </c>
      <c r="M152" s="237">
        <v>0</v>
      </c>
      <c r="N152" s="339">
        <f t="shared" si="14"/>
        <v>107778697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10">
        <v>107778697</v>
      </c>
      <c r="V152" s="237">
        <v>0</v>
      </c>
      <c r="W152" s="238">
        <v>542119</v>
      </c>
      <c r="X152" s="212"/>
      <c r="Y152" s="212"/>
    </row>
    <row r="153" spans="1:25" ht="46.5">
      <c r="A153" s="108"/>
      <c r="B153" s="216" t="s">
        <v>1073</v>
      </c>
      <c r="C153" s="216"/>
      <c r="D153" s="215" t="s">
        <v>881</v>
      </c>
      <c r="E153" s="106">
        <f t="shared" si="13"/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237">
        <v>0</v>
      </c>
      <c r="N153" s="339">
        <f t="shared" si="14"/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10">
        <v>0</v>
      </c>
      <c r="V153" s="237">
        <v>0</v>
      </c>
      <c r="W153" s="238" t="s">
        <v>1306</v>
      </c>
      <c r="X153" s="212"/>
      <c r="Y153" s="212"/>
    </row>
    <row r="154" spans="1:25" ht="46.5">
      <c r="A154" s="108"/>
      <c r="B154" s="216" t="s">
        <v>1074</v>
      </c>
      <c r="C154" s="216"/>
      <c r="D154" s="215" t="s">
        <v>1219</v>
      </c>
      <c r="E154" s="106">
        <f t="shared" si="13"/>
        <v>595906</v>
      </c>
      <c r="F154" s="110">
        <v>0</v>
      </c>
      <c r="G154" s="110">
        <v>0</v>
      </c>
      <c r="H154" s="110">
        <v>595906</v>
      </c>
      <c r="I154" s="110">
        <v>0</v>
      </c>
      <c r="J154" s="110">
        <v>0</v>
      </c>
      <c r="K154" s="110">
        <v>0</v>
      </c>
      <c r="L154" s="110">
        <v>0</v>
      </c>
      <c r="M154" s="237">
        <v>0</v>
      </c>
      <c r="N154" s="339">
        <f t="shared" si="14"/>
        <v>595906</v>
      </c>
      <c r="O154" s="110">
        <v>0</v>
      </c>
      <c r="P154" s="110">
        <v>0</v>
      </c>
      <c r="Q154" s="110">
        <v>595906</v>
      </c>
      <c r="R154" s="110">
        <v>0</v>
      </c>
      <c r="S154" s="110">
        <v>0</v>
      </c>
      <c r="T154" s="110">
        <v>0</v>
      </c>
      <c r="U154" s="110">
        <v>0</v>
      </c>
      <c r="V154" s="237">
        <v>0</v>
      </c>
      <c r="W154" s="238" t="s">
        <v>1307</v>
      </c>
      <c r="X154" s="212"/>
      <c r="Y154" s="212"/>
    </row>
    <row r="155" spans="1:25" ht="23.25">
      <c r="A155" s="108"/>
      <c r="B155" s="216" t="s">
        <v>1075</v>
      </c>
      <c r="C155" s="216"/>
      <c r="D155" s="214" t="s">
        <v>1173</v>
      </c>
      <c r="E155" s="106">
        <f t="shared" si="13"/>
        <v>20000000</v>
      </c>
      <c r="F155" s="110"/>
      <c r="G155" s="110"/>
      <c r="H155" s="110"/>
      <c r="I155" s="110"/>
      <c r="J155" s="110"/>
      <c r="K155" s="110">
        <v>20000000</v>
      </c>
      <c r="L155" s="110">
        <v>0</v>
      </c>
      <c r="M155" s="237">
        <v>0</v>
      </c>
      <c r="N155" s="339">
        <f t="shared" si="14"/>
        <v>20000000</v>
      </c>
      <c r="O155" s="110"/>
      <c r="P155" s="110"/>
      <c r="Q155" s="110"/>
      <c r="R155" s="110"/>
      <c r="S155" s="110"/>
      <c r="T155" s="110">
        <v>20000000</v>
      </c>
      <c r="U155" s="110">
        <v>0</v>
      </c>
      <c r="V155" s="237">
        <v>0</v>
      </c>
      <c r="W155" s="293">
        <v>54122</v>
      </c>
      <c r="X155" s="212"/>
      <c r="Y155" s="212"/>
    </row>
    <row r="156" spans="1:25" ht="23.25">
      <c r="A156" s="108"/>
      <c r="B156" s="216" t="s">
        <v>1076</v>
      </c>
      <c r="C156" s="216"/>
      <c r="D156" s="215" t="s">
        <v>1220</v>
      </c>
      <c r="E156" s="106">
        <f t="shared" si="13"/>
        <v>6581452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6581452</v>
      </c>
      <c r="L156" s="110">
        <v>0</v>
      </c>
      <c r="M156" s="237">
        <v>0</v>
      </c>
      <c r="N156" s="339">
        <f t="shared" si="14"/>
        <v>6581452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6581452</v>
      </c>
      <c r="U156" s="110">
        <v>0</v>
      </c>
      <c r="V156" s="237">
        <v>0</v>
      </c>
      <c r="W156" s="238" t="s">
        <v>1308</v>
      </c>
      <c r="X156" s="212"/>
      <c r="Y156" s="212"/>
    </row>
    <row r="157" spans="1:25" ht="23.25">
      <c r="A157" s="108"/>
      <c r="B157" s="216" t="s">
        <v>1077</v>
      </c>
      <c r="C157" s="216"/>
      <c r="D157" s="215" t="s">
        <v>944</v>
      </c>
      <c r="E157" s="106">
        <f t="shared" si="13"/>
        <v>40000000</v>
      </c>
      <c r="F157" s="110"/>
      <c r="G157" s="110"/>
      <c r="H157" s="110"/>
      <c r="I157" s="110"/>
      <c r="J157" s="110"/>
      <c r="K157" s="110">
        <v>40000000</v>
      </c>
      <c r="L157" s="110">
        <v>0</v>
      </c>
      <c r="M157" s="237"/>
      <c r="N157" s="339">
        <f t="shared" si="14"/>
        <v>100000000</v>
      </c>
      <c r="O157" s="110"/>
      <c r="P157" s="110"/>
      <c r="Q157" s="110"/>
      <c r="R157" s="110"/>
      <c r="S157" s="110"/>
      <c r="T157" s="110">
        <v>40000000</v>
      </c>
      <c r="U157" s="110">
        <v>60000000</v>
      </c>
      <c r="V157" s="237"/>
      <c r="W157" s="238" t="s">
        <v>1309</v>
      </c>
      <c r="X157" s="212"/>
      <c r="Y157" s="212"/>
    </row>
    <row r="158" spans="1:25" ht="81.75" customHeight="1">
      <c r="A158" s="108"/>
      <c r="B158" s="216" t="s">
        <v>1078</v>
      </c>
      <c r="C158" s="216"/>
      <c r="D158" s="215" t="s">
        <v>1080</v>
      </c>
      <c r="E158" s="106">
        <f>SUM(F158:M158)</f>
        <v>1160710</v>
      </c>
      <c r="F158" s="110">
        <v>0</v>
      </c>
      <c r="G158" s="110">
        <v>0</v>
      </c>
      <c r="H158" s="110">
        <v>657860</v>
      </c>
      <c r="I158" s="110">
        <v>0</v>
      </c>
      <c r="J158" s="110">
        <v>0</v>
      </c>
      <c r="K158" s="110">
        <v>502850</v>
      </c>
      <c r="L158" s="110">
        <v>0</v>
      </c>
      <c r="M158" s="237">
        <v>0</v>
      </c>
      <c r="N158" s="339">
        <f t="shared" si="14"/>
        <v>1160710</v>
      </c>
      <c r="O158" s="110">
        <v>0</v>
      </c>
      <c r="P158" s="110">
        <v>0</v>
      </c>
      <c r="Q158" s="110">
        <v>657860</v>
      </c>
      <c r="R158" s="110">
        <v>0</v>
      </c>
      <c r="S158" s="110">
        <v>0</v>
      </c>
      <c r="T158" s="110">
        <v>502850</v>
      </c>
      <c r="U158" s="110">
        <v>0</v>
      </c>
      <c r="V158" s="237">
        <v>0</v>
      </c>
      <c r="W158" s="238" t="s">
        <v>1310</v>
      </c>
      <c r="X158" s="212"/>
      <c r="Y158" s="212"/>
    </row>
    <row r="159" spans="1:25" ht="95.25" customHeight="1">
      <c r="A159" s="108"/>
      <c r="B159" s="216" t="s">
        <v>1079</v>
      </c>
      <c r="C159" s="216"/>
      <c r="D159" s="215" t="s">
        <v>1081</v>
      </c>
      <c r="E159" s="106">
        <f t="shared" si="13"/>
        <v>1559710</v>
      </c>
      <c r="F159" s="110">
        <v>0</v>
      </c>
      <c r="G159" s="110">
        <v>0</v>
      </c>
      <c r="H159" s="110">
        <v>1057910</v>
      </c>
      <c r="I159" s="110">
        <v>0</v>
      </c>
      <c r="J159" s="110">
        <v>0</v>
      </c>
      <c r="K159" s="110">
        <v>501800</v>
      </c>
      <c r="L159" s="110">
        <v>0</v>
      </c>
      <c r="M159" s="237">
        <v>0</v>
      </c>
      <c r="N159" s="339">
        <f t="shared" si="14"/>
        <v>1559710</v>
      </c>
      <c r="O159" s="110">
        <v>0</v>
      </c>
      <c r="P159" s="110">
        <v>0</v>
      </c>
      <c r="Q159" s="110">
        <v>1057910</v>
      </c>
      <c r="R159" s="110">
        <v>0</v>
      </c>
      <c r="S159" s="110">
        <v>0</v>
      </c>
      <c r="T159" s="110">
        <v>501800</v>
      </c>
      <c r="U159" s="110">
        <v>0</v>
      </c>
      <c r="V159" s="237">
        <v>0</v>
      </c>
      <c r="W159" s="238" t="s">
        <v>1311</v>
      </c>
      <c r="X159" s="212"/>
      <c r="Y159" s="212"/>
    </row>
    <row r="160" spans="1:25" ht="95.25" customHeight="1">
      <c r="A160" s="108"/>
      <c r="B160" s="216" t="s">
        <v>1086</v>
      </c>
      <c r="C160" s="216"/>
      <c r="D160" s="215" t="s">
        <v>1087</v>
      </c>
      <c r="E160" s="106">
        <f aca="true" t="shared" si="15" ref="E160:E166">SUM(F160:M160)</f>
        <v>35788972722</v>
      </c>
      <c r="F160" s="110">
        <v>0</v>
      </c>
      <c r="G160" s="110">
        <v>0</v>
      </c>
      <c r="H160" s="110">
        <v>10234865</v>
      </c>
      <c r="I160" s="110">
        <v>0</v>
      </c>
      <c r="J160" s="110">
        <v>0</v>
      </c>
      <c r="K160" s="110">
        <v>35778737857</v>
      </c>
      <c r="L160" s="110">
        <v>0</v>
      </c>
      <c r="M160" s="237">
        <v>0</v>
      </c>
      <c r="N160" s="339">
        <f aca="true" t="shared" si="16" ref="N160:N166">SUM(O160:V160)</f>
        <v>35788972722</v>
      </c>
      <c r="O160" s="110">
        <v>0</v>
      </c>
      <c r="P160" s="110">
        <v>0</v>
      </c>
      <c r="Q160" s="110">
        <v>10234865</v>
      </c>
      <c r="R160" s="110">
        <v>0</v>
      </c>
      <c r="S160" s="110">
        <v>0</v>
      </c>
      <c r="T160" s="110">
        <v>35778737857</v>
      </c>
      <c r="U160" s="110">
        <v>0</v>
      </c>
      <c r="V160" s="237">
        <v>0</v>
      </c>
      <c r="W160" s="238" t="s">
        <v>1312</v>
      </c>
      <c r="X160" s="212"/>
      <c r="Y160" s="212"/>
    </row>
    <row r="161" spans="1:25" ht="78" customHeight="1">
      <c r="A161" s="108"/>
      <c r="B161" s="216" t="s">
        <v>1134</v>
      </c>
      <c r="C161" s="216"/>
      <c r="D161" s="218" t="s">
        <v>1521</v>
      </c>
      <c r="E161" s="106">
        <f t="shared" si="15"/>
        <v>270000</v>
      </c>
      <c r="F161" s="110"/>
      <c r="G161" s="110"/>
      <c r="H161" s="110"/>
      <c r="I161" s="110"/>
      <c r="J161" s="110"/>
      <c r="K161" s="110">
        <v>0</v>
      </c>
      <c r="L161" s="110"/>
      <c r="M161" s="237">
        <v>270000</v>
      </c>
      <c r="N161" s="339">
        <f t="shared" si="16"/>
        <v>270000</v>
      </c>
      <c r="O161" s="110"/>
      <c r="P161" s="110"/>
      <c r="Q161" s="110"/>
      <c r="R161" s="110"/>
      <c r="S161" s="110"/>
      <c r="T161" s="110">
        <v>0</v>
      </c>
      <c r="U161" s="110"/>
      <c r="V161" s="110">
        <v>270000</v>
      </c>
      <c r="W161" s="238" t="s">
        <v>1512</v>
      </c>
      <c r="X161" s="212"/>
      <c r="Y161" s="212"/>
    </row>
    <row r="162" spans="1:25" ht="23.25">
      <c r="A162" s="108"/>
      <c r="B162" s="216" t="s">
        <v>1135</v>
      </c>
      <c r="C162" s="216"/>
      <c r="D162" s="214" t="s">
        <v>1143</v>
      </c>
      <c r="E162" s="106">
        <f t="shared" si="15"/>
        <v>3000000</v>
      </c>
      <c r="F162" s="110"/>
      <c r="G162" s="110"/>
      <c r="H162" s="110"/>
      <c r="I162" s="110"/>
      <c r="J162" s="110"/>
      <c r="K162" s="110">
        <v>3000000</v>
      </c>
      <c r="L162" s="110"/>
      <c r="M162" s="237"/>
      <c r="N162" s="339">
        <f t="shared" si="16"/>
        <v>3000000</v>
      </c>
      <c r="O162" s="110"/>
      <c r="P162" s="110"/>
      <c r="Q162" s="110"/>
      <c r="R162" s="110"/>
      <c r="S162" s="110"/>
      <c r="T162" s="110">
        <v>3000000</v>
      </c>
      <c r="U162" s="110"/>
      <c r="V162" s="110"/>
      <c r="W162" s="238" t="s">
        <v>1513</v>
      </c>
      <c r="X162" s="212"/>
      <c r="Y162" s="212"/>
    </row>
    <row r="163" spans="1:25" ht="23.25">
      <c r="A163" s="108"/>
      <c r="B163" s="216" t="s">
        <v>1136</v>
      </c>
      <c r="C163" s="216"/>
      <c r="D163" s="214" t="s">
        <v>1144</v>
      </c>
      <c r="E163" s="106">
        <f t="shared" si="15"/>
        <v>1510000000</v>
      </c>
      <c r="F163" s="110"/>
      <c r="G163" s="110"/>
      <c r="H163" s="110"/>
      <c r="I163" s="110"/>
      <c r="J163" s="110"/>
      <c r="K163" s="110">
        <v>1510000000</v>
      </c>
      <c r="L163" s="110"/>
      <c r="M163" s="237"/>
      <c r="N163" s="339">
        <f t="shared" si="16"/>
        <v>1510000000</v>
      </c>
      <c r="O163" s="110"/>
      <c r="P163" s="110"/>
      <c r="Q163" s="110"/>
      <c r="R163" s="110"/>
      <c r="S163" s="110"/>
      <c r="T163" s="110">
        <v>1510000000</v>
      </c>
      <c r="U163" s="110"/>
      <c r="V163" s="110"/>
      <c r="W163" s="238" t="s">
        <v>1514</v>
      </c>
      <c r="X163" s="212"/>
      <c r="Y163" s="212"/>
    </row>
    <row r="164" spans="1:25" ht="23.25">
      <c r="A164" s="108"/>
      <c r="B164" s="216" t="s">
        <v>1137</v>
      </c>
      <c r="C164" s="216"/>
      <c r="D164" s="215" t="s">
        <v>1138</v>
      </c>
      <c r="E164" s="106">
        <f t="shared" si="15"/>
        <v>18000000</v>
      </c>
      <c r="F164" s="110"/>
      <c r="G164" s="110"/>
      <c r="H164" s="110"/>
      <c r="I164" s="110"/>
      <c r="J164" s="110"/>
      <c r="K164" s="110">
        <v>18000000</v>
      </c>
      <c r="L164" s="110"/>
      <c r="M164" s="237"/>
      <c r="N164" s="339">
        <f t="shared" si="16"/>
        <v>18000000</v>
      </c>
      <c r="O164" s="110"/>
      <c r="P164" s="110"/>
      <c r="Q164" s="110"/>
      <c r="R164" s="110"/>
      <c r="S164" s="110"/>
      <c r="T164" s="110">
        <v>18000000</v>
      </c>
      <c r="U164" s="110"/>
      <c r="V164" s="110"/>
      <c r="W164" s="238" t="s">
        <v>1515</v>
      </c>
      <c r="X164" s="212"/>
      <c r="Y164" s="212"/>
    </row>
    <row r="165" spans="1:23" ht="23.25">
      <c r="A165" s="103" t="s">
        <v>64</v>
      </c>
      <c r="B165" s="220"/>
      <c r="C165" s="220"/>
      <c r="D165" s="198" t="s">
        <v>44</v>
      </c>
      <c r="E165" s="199">
        <f t="shared" si="15"/>
        <v>0</v>
      </c>
      <c r="F165" s="114">
        <v>0</v>
      </c>
      <c r="G165" s="114">
        <v>0</v>
      </c>
      <c r="H165" s="114">
        <v>0</v>
      </c>
      <c r="I165" s="114">
        <v>0</v>
      </c>
      <c r="J165" s="114">
        <v>0</v>
      </c>
      <c r="K165" s="114">
        <v>0</v>
      </c>
      <c r="L165" s="115">
        <v>0</v>
      </c>
      <c r="M165" s="333">
        <v>0</v>
      </c>
      <c r="N165" s="340">
        <f t="shared" si="16"/>
        <v>0</v>
      </c>
      <c r="O165" s="336">
        <v>0</v>
      </c>
      <c r="P165" s="114">
        <v>0</v>
      </c>
      <c r="Q165" s="114">
        <v>0</v>
      </c>
      <c r="R165" s="114">
        <v>0</v>
      </c>
      <c r="S165" s="114">
        <v>0</v>
      </c>
      <c r="T165" s="114">
        <v>0</v>
      </c>
      <c r="U165" s="115">
        <v>0</v>
      </c>
      <c r="V165" s="116">
        <v>0</v>
      </c>
      <c r="W165" s="234"/>
    </row>
    <row r="166" spans="1:25" ht="48.75" customHeight="1">
      <c r="A166" s="411" t="s">
        <v>315</v>
      </c>
      <c r="B166" s="411"/>
      <c r="C166" s="411"/>
      <c r="D166" s="412"/>
      <c r="E166" s="199">
        <f t="shared" si="15"/>
        <v>85350686725.97</v>
      </c>
      <c r="F166" s="105">
        <f aca="true" t="shared" si="17" ref="F166:M166">F165+F11+F10</f>
        <v>0</v>
      </c>
      <c r="G166" s="105">
        <f t="shared" si="17"/>
        <v>0</v>
      </c>
      <c r="H166" s="105">
        <f t="shared" si="17"/>
        <v>1534710415</v>
      </c>
      <c r="I166" s="105">
        <f t="shared" si="17"/>
        <v>0</v>
      </c>
      <c r="J166" s="105">
        <f t="shared" si="17"/>
        <v>0</v>
      </c>
      <c r="K166" s="105">
        <f t="shared" si="17"/>
        <v>77103700722.97</v>
      </c>
      <c r="L166" s="105">
        <f t="shared" si="17"/>
        <v>6712005588</v>
      </c>
      <c r="M166" s="334">
        <f t="shared" si="17"/>
        <v>270000</v>
      </c>
      <c r="N166" s="340">
        <f t="shared" si="16"/>
        <v>85410686725.97</v>
      </c>
      <c r="O166" s="337">
        <f aca="true" t="shared" si="18" ref="O166:V166">O165+O11+O10</f>
        <v>0</v>
      </c>
      <c r="P166" s="105">
        <f t="shared" si="18"/>
        <v>0</v>
      </c>
      <c r="Q166" s="105">
        <f t="shared" si="18"/>
        <v>1534710415</v>
      </c>
      <c r="R166" s="105">
        <f t="shared" si="18"/>
        <v>0</v>
      </c>
      <c r="S166" s="105">
        <f t="shared" si="18"/>
        <v>0</v>
      </c>
      <c r="T166" s="105">
        <f t="shared" si="18"/>
        <v>77103700722.97</v>
      </c>
      <c r="U166" s="105">
        <f t="shared" si="18"/>
        <v>6772005588</v>
      </c>
      <c r="V166" s="105">
        <f t="shared" si="18"/>
        <v>270000</v>
      </c>
      <c r="W166" s="234"/>
      <c r="X166" s="212"/>
      <c r="Y166" s="212"/>
    </row>
    <row r="167" ht="23.25">
      <c r="W167" s="234"/>
    </row>
    <row r="168" spans="5:23" ht="23.25">
      <c r="E168" s="149"/>
      <c r="N168" s="149"/>
      <c r="W168" s="234"/>
    </row>
    <row r="169" ht="23.25">
      <c r="W169" s="234"/>
    </row>
    <row r="170" spans="4:25" s="149" customFormat="1" ht="23.25">
      <c r="D170" s="150"/>
      <c r="W170" s="235"/>
      <c r="X170" s="212"/>
      <c r="Y170" s="212"/>
    </row>
    <row r="171" spans="4:25" s="149" customFormat="1" ht="23.25">
      <c r="D171" s="150"/>
      <c r="W171" s="235"/>
      <c r="X171" s="212"/>
      <c r="Y171" s="212"/>
    </row>
    <row r="172" spans="4:25" s="149" customFormat="1" ht="23.25">
      <c r="D172" s="150"/>
      <c r="W172" s="235"/>
      <c r="X172" s="212"/>
      <c r="Y172" s="212"/>
    </row>
    <row r="173" ht="23.25">
      <c r="W173" s="234"/>
    </row>
    <row r="174" ht="23.25">
      <c r="W174" s="234"/>
    </row>
    <row r="175" ht="23.25">
      <c r="W175" s="234"/>
    </row>
    <row r="176" ht="23.25">
      <c r="W176" s="234"/>
    </row>
    <row r="177" ht="23.25">
      <c r="W177" s="234"/>
    </row>
    <row r="178" ht="23.25">
      <c r="W178" s="234"/>
    </row>
    <row r="179" ht="23.25">
      <c r="W179" s="234"/>
    </row>
    <row r="180" ht="23.25">
      <c r="W180" s="234"/>
    </row>
    <row r="181" ht="23.25">
      <c r="W181" s="234"/>
    </row>
    <row r="182" ht="23.25">
      <c r="W182" s="234"/>
    </row>
    <row r="183" ht="23.25">
      <c r="W183" s="234"/>
    </row>
    <row r="184" ht="23.25">
      <c r="W184" s="234"/>
    </row>
    <row r="185" ht="23.25">
      <c r="W185" s="234"/>
    </row>
    <row r="186" ht="23.25">
      <c r="W186" s="234"/>
    </row>
    <row r="187" ht="23.25">
      <c r="W187" s="234"/>
    </row>
  </sheetData>
  <sheetProtection selectLockedCells="1" selectUnlockedCells="1"/>
  <mergeCells count="40">
    <mergeCell ref="A2:W2"/>
    <mergeCell ref="B61:D61"/>
    <mergeCell ref="B74:D74"/>
    <mergeCell ref="A1:W1"/>
    <mergeCell ref="W7:W11"/>
    <mergeCell ref="F7:M7"/>
    <mergeCell ref="E7:E9"/>
    <mergeCell ref="D7:D9"/>
    <mergeCell ref="N7:N9"/>
    <mergeCell ref="O7:V7"/>
    <mergeCell ref="B36:D36"/>
    <mergeCell ref="B42:D42"/>
    <mergeCell ref="B127:D127"/>
    <mergeCell ref="B102:D102"/>
    <mergeCell ref="B104:D104"/>
    <mergeCell ref="B110:D110"/>
    <mergeCell ref="B112:D112"/>
    <mergeCell ref="B49:D49"/>
    <mergeCell ref="B117:D117"/>
    <mergeCell ref="B120:D120"/>
    <mergeCell ref="B18:D18"/>
    <mergeCell ref="B20:D20"/>
    <mergeCell ref="A166:D166"/>
    <mergeCell ref="F8:J8"/>
    <mergeCell ref="K8:M8"/>
    <mergeCell ref="A7:A9"/>
    <mergeCell ref="B12:D12"/>
    <mergeCell ref="B14:D14"/>
    <mergeCell ref="B16:D16"/>
    <mergeCell ref="B26:D26"/>
    <mergeCell ref="O8:S8"/>
    <mergeCell ref="T8:V8"/>
    <mergeCell ref="A3:W3"/>
    <mergeCell ref="A4:W4"/>
    <mergeCell ref="B86:D86"/>
    <mergeCell ref="B98:D98"/>
    <mergeCell ref="B55:D55"/>
    <mergeCell ref="B59:D59"/>
    <mergeCell ref="B7:B9"/>
    <mergeCell ref="C7:C9"/>
  </mergeCells>
  <printOptions horizontalCentered="1"/>
  <pageMargins left="0.4330708661417323" right="0.4330708661417323" top="0.5511811023622047" bottom="0.5511811023622047" header="0.5118110236220472" footer="0.5118110236220472"/>
  <pageSetup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0"/>
  <sheetViews>
    <sheetView view="pageBreakPreview" zoomScale="70" zoomScaleNormal="74" zoomScaleSheetLayoutView="70" zoomScalePageLayoutView="0" workbookViewId="0" topLeftCell="A1">
      <selection activeCell="A1" sqref="A1:V1"/>
    </sheetView>
  </sheetViews>
  <sheetFormatPr defaultColWidth="9.140625" defaultRowHeight="18" customHeight="1"/>
  <cols>
    <col min="1" max="1" width="7.00390625" style="117" customWidth="1"/>
    <col min="2" max="2" width="10.7109375" style="117" customWidth="1"/>
    <col min="3" max="3" width="33.57421875" style="117" customWidth="1"/>
    <col min="4" max="4" width="18.7109375" style="117" customWidth="1"/>
    <col min="5" max="5" width="14.57421875" style="117" customWidth="1"/>
    <col min="6" max="6" width="17.8515625" style="117" customWidth="1"/>
    <col min="7" max="7" width="16.7109375" style="117" customWidth="1"/>
    <col min="8" max="9" width="14.57421875" style="117" customWidth="1"/>
    <col min="10" max="10" width="16.7109375" style="117" customWidth="1"/>
    <col min="11" max="11" width="19.140625" style="117" customWidth="1"/>
    <col min="12" max="12" width="17.8515625" style="117" customWidth="1"/>
    <col min="13" max="13" width="18.7109375" style="117" customWidth="1"/>
    <col min="14" max="14" width="14.57421875" style="117" customWidth="1"/>
    <col min="15" max="15" width="17.8515625" style="117" customWidth="1"/>
    <col min="16" max="16" width="16.7109375" style="117" customWidth="1"/>
    <col min="17" max="18" width="14.57421875" style="117" customWidth="1"/>
    <col min="19" max="19" width="16.7109375" style="117" customWidth="1"/>
    <col min="20" max="20" width="19.140625" style="117" customWidth="1"/>
    <col min="21" max="21" width="17.8515625" style="117" customWidth="1"/>
    <col min="22" max="22" width="22.28125" style="117" customWidth="1"/>
    <col min="23" max="16384" width="9.140625" style="117" customWidth="1"/>
  </cols>
  <sheetData>
    <row r="1" spans="1:22" ht="15.75" customHeight="1">
      <c r="A1" s="347" t="s">
        <v>1558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15.75" customHeight="1">
      <c r="A2" s="358" t="s">
        <v>1532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22" ht="18" customHeight="1">
      <c r="A3" s="423" t="s">
        <v>66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ht="18" customHeight="1">
      <c r="A4" s="424" t="s">
        <v>421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</row>
    <row r="5" spans="1:22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188"/>
      <c r="M5" s="38"/>
      <c r="N5" s="38"/>
      <c r="O5" s="38"/>
      <c r="P5" s="38"/>
      <c r="Q5" s="38"/>
      <c r="R5" s="38"/>
      <c r="S5" s="38"/>
      <c r="T5" s="38"/>
      <c r="U5" s="188"/>
      <c r="V5" s="310" t="s">
        <v>1</v>
      </c>
    </row>
    <row r="6" spans="1:22" ht="12.75" customHeight="1">
      <c r="A6" s="261" t="s">
        <v>2</v>
      </c>
      <c r="B6" s="261" t="s">
        <v>3</v>
      </c>
      <c r="C6" s="261" t="s">
        <v>4</v>
      </c>
      <c r="D6" s="261" t="s">
        <v>5</v>
      </c>
      <c r="E6" s="261" t="s">
        <v>6</v>
      </c>
      <c r="F6" s="261" t="s">
        <v>7</v>
      </c>
      <c r="G6" s="261" t="s">
        <v>8</v>
      </c>
      <c r="H6" s="261" t="s">
        <v>9</v>
      </c>
      <c r="I6" s="261" t="s">
        <v>10</v>
      </c>
      <c r="J6" s="262" t="s">
        <v>11</v>
      </c>
      <c r="K6" s="261" t="s">
        <v>12</v>
      </c>
      <c r="L6" s="263" t="s">
        <v>13</v>
      </c>
      <c r="M6" s="261" t="s">
        <v>14</v>
      </c>
      <c r="N6" s="261" t="s">
        <v>15</v>
      </c>
      <c r="O6" s="261" t="s">
        <v>16</v>
      </c>
      <c r="P6" s="261" t="s">
        <v>17</v>
      </c>
      <c r="Q6" s="261" t="s">
        <v>18</v>
      </c>
      <c r="R6" s="261" t="s">
        <v>19</v>
      </c>
      <c r="S6" s="262" t="s">
        <v>20</v>
      </c>
      <c r="T6" s="261" t="s">
        <v>21</v>
      </c>
      <c r="U6" s="263" t="s">
        <v>22</v>
      </c>
      <c r="V6" s="264" t="s">
        <v>181</v>
      </c>
    </row>
    <row r="7" spans="1:22" ht="12.75" customHeight="1">
      <c r="A7" s="354" t="s">
        <v>24</v>
      </c>
      <c r="B7" s="354" t="s">
        <v>185</v>
      </c>
      <c r="C7" s="355" t="s">
        <v>25</v>
      </c>
      <c r="D7" s="355" t="s">
        <v>1099</v>
      </c>
      <c r="E7" s="403" t="s">
        <v>26</v>
      </c>
      <c r="F7" s="403"/>
      <c r="G7" s="403"/>
      <c r="H7" s="403"/>
      <c r="I7" s="403"/>
      <c r="J7" s="403"/>
      <c r="K7" s="403"/>
      <c r="L7" s="404"/>
      <c r="M7" s="355" t="s">
        <v>1526</v>
      </c>
      <c r="N7" s="403" t="s">
        <v>1525</v>
      </c>
      <c r="O7" s="403"/>
      <c r="P7" s="403"/>
      <c r="Q7" s="403"/>
      <c r="R7" s="403"/>
      <c r="S7" s="403"/>
      <c r="T7" s="403"/>
      <c r="U7" s="404"/>
      <c r="V7" s="422" t="s">
        <v>1234</v>
      </c>
    </row>
    <row r="8" spans="1:22" ht="12.75" customHeight="1">
      <c r="A8" s="354"/>
      <c r="B8" s="354"/>
      <c r="C8" s="355"/>
      <c r="D8" s="355"/>
      <c r="E8" s="351" t="s">
        <v>27</v>
      </c>
      <c r="F8" s="351"/>
      <c r="G8" s="351"/>
      <c r="H8" s="351"/>
      <c r="I8" s="351"/>
      <c r="J8" s="351" t="s">
        <v>28</v>
      </c>
      <c r="K8" s="351"/>
      <c r="L8" s="398"/>
      <c r="M8" s="355"/>
      <c r="N8" s="351" t="s">
        <v>27</v>
      </c>
      <c r="O8" s="351"/>
      <c r="P8" s="351"/>
      <c r="Q8" s="351"/>
      <c r="R8" s="351"/>
      <c r="S8" s="351" t="s">
        <v>28</v>
      </c>
      <c r="T8" s="351"/>
      <c r="U8" s="398"/>
      <c r="V8" s="422"/>
    </row>
    <row r="9" spans="1:22" ht="76.5" customHeight="1">
      <c r="A9" s="354"/>
      <c r="B9" s="354"/>
      <c r="C9" s="355"/>
      <c r="D9" s="35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196" t="s">
        <v>36</v>
      </c>
      <c r="M9" s="35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196" t="s">
        <v>36</v>
      </c>
      <c r="V9" s="422"/>
    </row>
    <row r="10" spans="1:22" ht="20.25" customHeight="1">
      <c r="A10" s="118" t="s">
        <v>67</v>
      </c>
      <c r="B10" s="12"/>
      <c r="C10" s="119" t="s">
        <v>40</v>
      </c>
      <c r="D10" s="24">
        <f aca="true" t="shared" si="0" ref="D10:D20">SUM(E10:L10)</f>
        <v>433512284</v>
      </c>
      <c r="E10" s="120">
        <f aca="true" t="shared" si="1" ref="E10:L10">SUM(E11:E17)</f>
        <v>0</v>
      </c>
      <c r="F10" s="120">
        <f t="shared" si="1"/>
        <v>0</v>
      </c>
      <c r="G10" s="120">
        <f t="shared" si="1"/>
        <v>100000000</v>
      </c>
      <c r="H10" s="120">
        <f t="shared" si="1"/>
        <v>0</v>
      </c>
      <c r="I10" s="120">
        <f t="shared" si="1"/>
        <v>0</v>
      </c>
      <c r="J10" s="120">
        <f t="shared" si="1"/>
        <v>0</v>
      </c>
      <c r="K10" s="120">
        <f t="shared" si="1"/>
        <v>333512284</v>
      </c>
      <c r="L10" s="127">
        <f t="shared" si="1"/>
        <v>0</v>
      </c>
      <c r="M10" s="24">
        <f aca="true" t="shared" si="2" ref="M10:M17">SUM(N10:U10)</f>
        <v>433512284</v>
      </c>
      <c r="N10" s="120">
        <f aca="true" t="shared" si="3" ref="N10:U10">SUM(N11:N17)</f>
        <v>0</v>
      </c>
      <c r="O10" s="120">
        <f t="shared" si="3"/>
        <v>0</v>
      </c>
      <c r="P10" s="120">
        <f t="shared" si="3"/>
        <v>100000000</v>
      </c>
      <c r="Q10" s="120">
        <f t="shared" si="3"/>
        <v>0</v>
      </c>
      <c r="R10" s="120">
        <f t="shared" si="3"/>
        <v>0</v>
      </c>
      <c r="S10" s="120">
        <f t="shared" si="3"/>
        <v>0</v>
      </c>
      <c r="T10" s="120">
        <f t="shared" si="3"/>
        <v>333512284</v>
      </c>
      <c r="U10" s="127">
        <f t="shared" si="3"/>
        <v>0</v>
      </c>
      <c r="V10" s="422"/>
    </row>
    <row r="11" spans="1:22" ht="58.5" customHeight="1">
      <c r="A11" s="12"/>
      <c r="B11" s="12" t="s">
        <v>422</v>
      </c>
      <c r="C11" s="19" t="s">
        <v>423</v>
      </c>
      <c r="D11" s="93">
        <f t="shared" si="0"/>
        <v>50000000</v>
      </c>
      <c r="E11" s="94">
        <v>0</v>
      </c>
      <c r="F11" s="94">
        <v>0</v>
      </c>
      <c r="G11" s="94">
        <v>50000000</v>
      </c>
      <c r="H11" s="94">
        <v>0</v>
      </c>
      <c r="I11" s="94">
        <v>0</v>
      </c>
      <c r="J11" s="94">
        <v>0</v>
      </c>
      <c r="K11" s="94">
        <v>0</v>
      </c>
      <c r="L11" s="197">
        <v>0</v>
      </c>
      <c r="M11" s="93">
        <f t="shared" si="2"/>
        <v>50000000</v>
      </c>
      <c r="N11" s="94">
        <v>0</v>
      </c>
      <c r="O11" s="94">
        <v>0</v>
      </c>
      <c r="P11" s="94">
        <v>50000000</v>
      </c>
      <c r="Q11" s="94">
        <v>0</v>
      </c>
      <c r="R11" s="94">
        <v>0</v>
      </c>
      <c r="S11" s="94">
        <v>0</v>
      </c>
      <c r="T11" s="94">
        <v>0</v>
      </c>
      <c r="U11" s="197">
        <v>0</v>
      </c>
      <c r="V11" s="240" t="s">
        <v>1313</v>
      </c>
    </row>
    <row r="12" spans="1:22" ht="30" customHeight="1">
      <c r="A12" s="12"/>
      <c r="B12" s="12" t="s">
        <v>424</v>
      </c>
      <c r="C12" s="19" t="s">
        <v>425</v>
      </c>
      <c r="D12" s="93">
        <f t="shared" si="0"/>
        <v>5000000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5000000</v>
      </c>
      <c r="L12" s="197">
        <v>0</v>
      </c>
      <c r="M12" s="93">
        <f t="shared" si="2"/>
        <v>5000000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5000000</v>
      </c>
      <c r="U12" s="197">
        <v>0</v>
      </c>
      <c r="V12" s="240" t="s">
        <v>1314</v>
      </c>
    </row>
    <row r="13" spans="1:22" ht="45" customHeight="1">
      <c r="A13" s="12"/>
      <c r="B13" s="12" t="s">
        <v>426</v>
      </c>
      <c r="C13" s="19" t="s">
        <v>427</v>
      </c>
      <c r="D13" s="93">
        <f t="shared" si="0"/>
        <v>20000000</v>
      </c>
      <c r="E13" s="94">
        <v>0</v>
      </c>
      <c r="F13" s="94">
        <v>0</v>
      </c>
      <c r="G13" s="94">
        <v>20000000</v>
      </c>
      <c r="H13" s="94">
        <v>0</v>
      </c>
      <c r="I13" s="94">
        <v>0</v>
      </c>
      <c r="J13" s="94">
        <v>0</v>
      </c>
      <c r="K13" s="94">
        <v>0</v>
      </c>
      <c r="L13" s="197">
        <v>0</v>
      </c>
      <c r="M13" s="93">
        <f t="shared" si="2"/>
        <v>20000000</v>
      </c>
      <c r="N13" s="94">
        <v>0</v>
      </c>
      <c r="O13" s="94">
        <v>0</v>
      </c>
      <c r="P13" s="94">
        <v>20000000</v>
      </c>
      <c r="Q13" s="94">
        <v>0</v>
      </c>
      <c r="R13" s="94">
        <v>0</v>
      </c>
      <c r="S13" s="94">
        <v>0</v>
      </c>
      <c r="T13" s="94">
        <v>0</v>
      </c>
      <c r="U13" s="197">
        <v>0</v>
      </c>
      <c r="V13" s="240" t="s">
        <v>1315</v>
      </c>
    </row>
    <row r="14" spans="1:22" ht="30" customHeight="1">
      <c r="A14" s="12"/>
      <c r="B14" s="12" t="s">
        <v>428</v>
      </c>
      <c r="C14" s="19" t="s">
        <v>429</v>
      </c>
      <c r="D14" s="93">
        <f t="shared" si="0"/>
        <v>47000000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47000000</v>
      </c>
      <c r="L14" s="197">
        <v>0</v>
      </c>
      <c r="M14" s="93">
        <f t="shared" si="2"/>
        <v>47000000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47000000</v>
      </c>
      <c r="U14" s="197">
        <v>0</v>
      </c>
      <c r="V14" s="240" t="s">
        <v>1316</v>
      </c>
    </row>
    <row r="15" spans="1:22" ht="45" customHeight="1">
      <c r="A15" s="12"/>
      <c r="B15" s="12" t="s">
        <v>430</v>
      </c>
      <c r="C15" s="19" t="s">
        <v>431</v>
      </c>
      <c r="D15" s="93">
        <f t="shared" si="0"/>
        <v>30000000</v>
      </c>
      <c r="E15" s="94">
        <v>0</v>
      </c>
      <c r="F15" s="94">
        <v>0</v>
      </c>
      <c r="G15" s="94">
        <v>30000000</v>
      </c>
      <c r="H15" s="94">
        <v>0</v>
      </c>
      <c r="I15" s="94">
        <v>0</v>
      </c>
      <c r="J15" s="94">
        <v>0</v>
      </c>
      <c r="K15" s="94">
        <v>0</v>
      </c>
      <c r="L15" s="197">
        <v>0</v>
      </c>
      <c r="M15" s="93">
        <f t="shared" si="2"/>
        <v>30000000</v>
      </c>
      <c r="N15" s="94">
        <v>0</v>
      </c>
      <c r="O15" s="94">
        <v>0</v>
      </c>
      <c r="P15" s="94">
        <v>30000000</v>
      </c>
      <c r="Q15" s="94">
        <v>0</v>
      </c>
      <c r="R15" s="94">
        <v>0</v>
      </c>
      <c r="S15" s="94">
        <v>0</v>
      </c>
      <c r="T15" s="94">
        <v>0</v>
      </c>
      <c r="U15" s="197">
        <v>0</v>
      </c>
      <c r="V15" s="240" t="s">
        <v>1317</v>
      </c>
    </row>
    <row r="16" spans="1:22" ht="45" customHeight="1">
      <c r="A16" s="12"/>
      <c r="B16" s="12" t="s">
        <v>432</v>
      </c>
      <c r="C16" s="19" t="s">
        <v>433</v>
      </c>
      <c r="D16" s="93">
        <f t="shared" si="0"/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97">
        <v>0</v>
      </c>
      <c r="M16" s="93">
        <f t="shared" si="2"/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197">
        <v>0</v>
      </c>
      <c r="V16" s="240" t="s">
        <v>1318</v>
      </c>
    </row>
    <row r="17" spans="1:22" ht="18" customHeight="1">
      <c r="A17" s="12"/>
      <c r="B17" s="12" t="s">
        <v>434</v>
      </c>
      <c r="C17" s="19" t="s">
        <v>435</v>
      </c>
      <c r="D17" s="93">
        <f t="shared" si="0"/>
        <v>281512284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281512284</v>
      </c>
      <c r="L17" s="197">
        <v>0</v>
      </c>
      <c r="M17" s="93">
        <f t="shared" si="2"/>
        <v>281512284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281512284</v>
      </c>
      <c r="U17" s="197">
        <v>0</v>
      </c>
      <c r="V17" s="240" t="s">
        <v>1319</v>
      </c>
    </row>
    <row r="18" spans="1:22" ht="18" customHeight="1">
      <c r="A18" s="121" t="s">
        <v>68</v>
      </c>
      <c r="B18" s="12"/>
      <c r="C18" s="119" t="s">
        <v>42</v>
      </c>
      <c r="D18" s="24">
        <f>SUM(E18:L18)</f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7">
        <v>0</v>
      </c>
      <c r="M18" s="24">
        <f>SUM(N18:U18)</f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7">
        <v>0</v>
      </c>
      <c r="V18" s="242"/>
    </row>
    <row r="19" spans="1:22" ht="31.5" customHeight="1">
      <c r="A19" s="118" t="s">
        <v>69</v>
      </c>
      <c r="B19" s="12"/>
      <c r="C19" s="119" t="s">
        <v>44</v>
      </c>
      <c r="D19" s="24">
        <f t="shared" si="0"/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3">
        <v>0</v>
      </c>
      <c r="M19" s="24">
        <f>SUM(N19:U19)</f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3">
        <v>0</v>
      </c>
      <c r="V19" s="242"/>
    </row>
    <row r="20" spans="1:22" ht="37.5" customHeight="1">
      <c r="A20" s="402" t="s">
        <v>315</v>
      </c>
      <c r="B20" s="402"/>
      <c r="C20" s="402"/>
      <c r="D20" s="24">
        <f t="shared" si="0"/>
        <v>433512284</v>
      </c>
      <c r="E20" s="120">
        <f aca="true" t="shared" si="4" ref="E20:L20">E10+E18+E19</f>
        <v>0</v>
      </c>
      <c r="F20" s="120">
        <f t="shared" si="4"/>
        <v>0</v>
      </c>
      <c r="G20" s="120">
        <f t="shared" si="4"/>
        <v>100000000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333512284</v>
      </c>
      <c r="L20" s="127">
        <f t="shared" si="4"/>
        <v>0</v>
      </c>
      <c r="M20" s="24">
        <f>SUM(N20:U20)</f>
        <v>433512284</v>
      </c>
      <c r="N20" s="120">
        <f aca="true" t="shared" si="5" ref="N20:U20">N10+N18+N19</f>
        <v>0</v>
      </c>
      <c r="O20" s="120">
        <f t="shared" si="5"/>
        <v>0</v>
      </c>
      <c r="P20" s="120">
        <f t="shared" si="5"/>
        <v>100000000</v>
      </c>
      <c r="Q20" s="120">
        <f t="shared" si="5"/>
        <v>0</v>
      </c>
      <c r="R20" s="120">
        <f t="shared" si="5"/>
        <v>0</v>
      </c>
      <c r="S20" s="120">
        <f t="shared" si="5"/>
        <v>0</v>
      </c>
      <c r="T20" s="120">
        <f t="shared" si="5"/>
        <v>333512284</v>
      </c>
      <c r="U20" s="127">
        <f t="shared" si="5"/>
        <v>0</v>
      </c>
      <c r="V20" s="242"/>
    </row>
  </sheetData>
  <sheetProtection selectLockedCells="1" selectUnlockedCells="1"/>
  <mergeCells count="17">
    <mergeCell ref="A20:C20"/>
    <mergeCell ref="E8:I8"/>
    <mergeCell ref="J8:L8"/>
    <mergeCell ref="A7:A9"/>
    <mergeCell ref="B7:B9"/>
    <mergeCell ref="A1:V1"/>
    <mergeCell ref="C7:C9"/>
    <mergeCell ref="A2:V2"/>
    <mergeCell ref="A3:V3"/>
    <mergeCell ref="A4:V4"/>
    <mergeCell ref="D7:D9"/>
    <mergeCell ref="E7:L7"/>
    <mergeCell ref="V7:V10"/>
    <mergeCell ref="M7:M9"/>
    <mergeCell ref="N7:U7"/>
    <mergeCell ref="N8:R8"/>
    <mergeCell ref="S8:U8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25"/>
  <sheetViews>
    <sheetView view="pageBreakPreview" zoomScale="60" zoomScaleNormal="80" zoomScalePageLayoutView="0" workbookViewId="0" topLeftCell="A1">
      <selection activeCell="A1" sqref="A1:V1"/>
    </sheetView>
  </sheetViews>
  <sheetFormatPr defaultColWidth="18.140625" defaultRowHeight="12.75"/>
  <cols>
    <col min="1" max="1" width="8.57421875" style="0" customWidth="1"/>
    <col min="2" max="2" width="7.7109375" style="0" customWidth="1"/>
    <col min="3" max="3" width="44.7109375" style="0" customWidth="1"/>
  </cols>
  <sheetData>
    <row r="1" spans="1:22" ht="18">
      <c r="A1" s="347" t="s">
        <v>1559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18">
      <c r="A2" s="358" t="s">
        <v>1533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</row>
    <row r="3" spans="1:22" ht="18">
      <c r="A3" s="423" t="s">
        <v>832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</row>
    <row r="4" spans="1:22" ht="18">
      <c r="A4" s="424" t="s">
        <v>833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</row>
    <row r="5" spans="1:22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3"/>
      <c r="N5" s="3"/>
      <c r="O5" s="3"/>
      <c r="P5" s="3"/>
      <c r="Q5" s="3"/>
      <c r="R5" s="3"/>
      <c r="S5" s="3"/>
      <c r="T5" s="3"/>
      <c r="V5" s="313" t="s">
        <v>1</v>
      </c>
    </row>
    <row r="6" spans="1:22" ht="18" customHeight="1">
      <c r="A6" s="265" t="s">
        <v>2</v>
      </c>
      <c r="B6" s="265" t="s">
        <v>3</v>
      </c>
      <c r="C6" s="265" t="s">
        <v>4</v>
      </c>
      <c r="D6" s="265" t="s">
        <v>5</v>
      </c>
      <c r="E6" s="265" t="s">
        <v>6</v>
      </c>
      <c r="F6" s="265" t="s">
        <v>7</v>
      </c>
      <c r="G6" s="265" t="s">
        <v>8</v>
      </c>
      <c r="H6" s="265" t="s">
        <v>9</v>
      </c>
      <c r="I6" s="265" t="s">
        <v>10</v>
      </c>
      <c r="J6" s="266" t="s">
        <v>11</v>
      </c>
      <c r="K6" s="265" t="s">
        <v>12</v>
      </c>
      <c r="L6" s="267" t="s">
        <v>13</v>
      </c>
      <c r="M6" s="265" t="s">
        <v>14</v>
      </c>
      <c r="N6" s="265" t="s">
        <v>15</v>
      </c>
      <c r="O6" s="265" t="s">
        <v>16</v>
      </c>
      <c r="P6" s="265" t="s">
        <v>17</v>
      </c>
      <c r="Q6" s="265" t="s">
        <v>18</v>
      </c>
      <c r="R6" s="265" t="s">
        <v>19</v>
      </c>
      <c r="S6" s="266" t="s">
        <v>20</v>
      </c>
      <c r="T6" s="265" t="s">
        <v>21</v>
      </c>
      <c r="U6" s="267" t="s">
        <v>22</v>
      </c>
      <c r="V6" s="268" t="s">
        <v>181</v>
      </c>
    </row>
    <row r="7" spans="1:22" ht="12.75" customHeight="1">
      <c r="A7" s="354" t="s">
        <v>24</v>
      </c>
      <c r="B7" s="354" t="s">
        <v>185</v>
      </c>
      <c r="C7" s="355" t="s">
        <v>25</v>
      </c>
      <c r="D7" s="355" t="s">
        <v>1099</v>
      </c>
      <c r="E7" s="403" t="s">
        <v>26</v>
      </c>
      <c r="F7" s="403"/>
      <c r="G7" s="403"/>
      <c r="H7" s="403"/>
      <c r="I7" s="403"/>
      <c r="J7" s="403"/>
      <c r="K7" s="403"/>
      <c r="L7" s="404"/>
      <c r="M7" s="355" t="s">
        <v>1526</v>
      </c>
      <c r="N7" s="403" t="s">
        <v>1525</v>
      </c>
      <c r="O7" s="403"/>
      <c r="P7" s="403"/>
      <c r="Q7" s="403"/>
      <c r="R7" s="403"/>
      <c r="S7" s="403"/>
      <c r="T7" s="403"/>
      <c r="U7" s="404"/>
      <c r="V7" s="425" t="s">
        <v>1234</v>
      </c>
    </row>
    <row r="8" spans="1:22" ht="12.75">
      <c r="A8" s="354"/>
      <c r="B8" s="354"/>
      <c r="C8" s="355"/>
      <c r="D8" s="355"/>
      <c r="E8" s="351" t="s">
        <v>27</v>
      </c>
      <c r="F8" s="351"/>
      <c r="G8" s="351"/>
      <c r="H8" s="351"/>
      <c r="I8" s="351"/>
      <c r="J8" s="351" t="s">
        <v>28</v>
      </c>
      <c r="K8" s="351"/>
      <c r="L8" s="398"/>
      <c r="M8" s="355"/>
      <c r="N8" s="351" t="s">
        <v>27</v>
      </c>
      <c r="O8" s="351"/>
      <c r="P8" s="351"/>
      <c r="Q8" s="351"/>
      <c r="R8" s="351"/>
      <c r="S8" s="351" t="s">
        <v>28</v>
      </c>
      <c r="T8" s="351"/>
      <c r="U8" s="398"/>
      <c r="V8" s="425"/>
    </row>
    <row r="9" spans="1:22" ht="63.75">
      <c r="A9" s="354"/>
      <c r="B9" s="354"/>
      <c r="C9" s="355"/>
      <c r="D9" s="355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196" t="s">
        <v>36</v>
      </c>
      <c r="M9" s="355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196" t="s">
        <v>36</v>
      </c>
      <c r="V9" s="425"/>
    </row>
    <row r="10" spans="1:22" s="129" customFormat="1" ht="18">
      <c r="A10" s="118" t="s">
        <v>72</v>
      </c>
      <c r="B10" s="118"/>
      <c r="C10" s="119" t="s">
        <v>40</v>
      </c>
      <c r="D10" s="24">
        <f aca="true" t="shared" si="0" ref="D10:D21">SUM(E10:L10)</f>
        <v>82246870</v>
      </c>
      <c r="E10" s="120">
        <f aca="true" t="shared" si="1" ref="E10:U10">SUM(E11:E11)</f>
        <v>7803000</v>
      </c>
      <c r="F10" s="120">
        <f t="shared" si="1"/>
        <v>1519885</v>
      </c>
      <c r="G10" s="120">
        <f t="shared" si="1"/>
        <v>72923985</v>
      </c>
      <c r="H10" s="120">
        <f t="shared" si="1"/>
        <v>0</v>
      </c>
      <c r="I10" s="120">
        <f t="shared" si="1"/>
        <v>0</v>
      </c>
      <c r="J10" s="120">
        <f t="shared" si="1"/>
        <v>0</v>
      </c>
      <c r="K10" s="120">
        <f t="shared" si="1"/>
        <v>0</v>
      </c>
      <c r="L10" s="127">
        <f t="shared" si="1"/>
        <v>0</v>
      </c>
      <c r="M10" s="24">
        <f aca="true" t="shared" si="2" ref="M10:M21">SUM(N10:U10)</f>
        <v>82246870</v>
      </c>
      <c r="N10" s="120">
        <f t="shared" si="1"/>
        <v>7803000</v>
      </c>
      <c r="O10" s="120">
        <f t="shared" si="1"/>
        <v>1519885</v>
      </c>
      <c r="P10" s="120">
        <f t="shared" si="1"/>
        <v>72923985</v>
      </c>
      <c r="Q10" s="120">
        <f t="shared" si="1"/>
        <v>0</v>
      </c>
      <c r="R10" s="120">
        <f t="shared" si="1"/>
        <v>0</v>
      </c>
      <c r="S10" s="120">
        <f t="shared" si="1"/>
        <v>0</v>
      </c>
      <c r="T10" s="120">
        <f t="shared" si="1"/>
        <v>0</v>
      </c>
      <c r="U10" s="127">
        <f t="shared" si="1"/>
        <v>0</v>
      </c>
      <c r="V10" s="425"/>
    </row>
    <row r="11" spans="1:22" ht="49.5" customHeight="1">
      <c r="A11" s="12"/>
      <c r="B11" s="12" t="s">
        <v>834</v>
      </c>
      <c r="C11" s="19" t="s">
        <v>884</v>
      </c>
      <c r="D11" s="93">
        <f t="shared" si="0"/>
        <v>82246870</v>
      </c>
      <c r="E11" s="94">
        <v>7803000</v>
      </c>
      <c r="F11" s="94">
        <v>1519885</v>
      </c>
      <c r="G11" s="94">
        <f>10000+75413985-9000000+6500000</f>
        <v>72923985</v>
      </c>
      <c r="H11" s="94">
        <v>0</v>
      </c>
      <c r="I11" s="94">
        <v>0</v>
      </c>
      <c r="J11" s="94">
        <v>0</v>
      </c>
      <c r="K11" s="94">
        <v>0</v>
      </c>
      <c r="L11" s="197">
        <v>0</v>
      </c>
      <c r="M11" s="93">
        <f t="shared" si="2"/>
        <v>82246870</v>
      </c>
      <c r="N11" s="94">
        <v>7803000</v>
      </c>
      <c r="O11" s="94">
        <v>1519885</v>
      </c>
      <c r="P11" s="94">
        <f>10000+75413985-9000000+6500000</f>
        <v>72923985</v>
      </c>
      <c r="Q11" s="94">
        <v>0</v>
      </c>
      <c r="R11" s="94">
        <v>0</v>
      </c>
      <c r="S11" s="94">
        <v>0</v>
      </c>
      <c r="T11" s="94">
        <v>0</v>
      </c>
      <c r="U11" s="197">
        <v>0</v>
      </c>
      <c r="V11" s="260" t="s">
        <v>1320</v>
      </c>
    </row>
    <row r="12" spans="1:22" s="129" customFormat="1" ht="18">
      <c r="A12" s="118" t="s">
        <v>73</v>
      </c>
      <c r="B12" s="118"/>
      <c r="C12" s="119" t="s">
        <v>42</v>
      </c>
      <c r="D12" s="24">
        <f t="shared" si="0"/>
        <v>104676750</v>
      </c>
      <c r="E12" s="120">
        <f>SUM(E13:E19)</f>
        <v>50400000</v>
      </c>
      <c r="F12" s="120">
        <f>SUM(F13:F19)</f>
        <v>22698000</v>
      </c>
      <c r="G12" s="120">
        <f>SUM(G13:G19)</f>
        <v>31578750</v>
      </c>
      <c r="H12" s="120">
        <f>SUM(H13:H17)</f>
        <v>0</v>
      </c>
      <c r="I12" s="120">
        <f>SUM(I13:I17)</f>
        <v>0</v>
      </c>
      <c r="J12" s="120">
        <f>SUM(J13:J17)</f>
        <v>0</v>
      </c>
      <c r="K12" s="120">
        <f>SUM(K13:K17)</f>
        <v>0</v>
      </c>
      <c r="L12" s="127">
        <f>SUM(L13:L17)</f>
        <v>0</v>
      </c>
      <c r="M12" s="24">
        <f t="shared" si="2"/>
        <v>104676750</v>
      </c>
      <c r="N12" s="120">
        <f>SUM(N13:N19)</f>
        <v>50400000</v>
      </c>
      <c r="O12" s="120">
        <f>SUM(O13:O19)</f>
        <v>22698000</v>
      </c>
      <c r="P12" s="120">
        <f>SUM(P13:P19)</f>
        <v>31578750</v>
      </c>
      <c r="Q12" s="120">
        <f>SUM(Q13:Q17)</f>
        <v>0</v>
      </c>
      <c r="R12" s="120">
        <f>SUM(R13:R17)</f>
        <v>0</v>
      </c>
      <c r="S12" s="120">
        <f>SUM(S13:S17)</f>
        <v>0</v>
      </c>
      <c r="T12" s="120">
        <f>SUM(T13:T17)</f>
        <v>0</v>
      </c>
      <c r="U12" s="127">
        <f>SUM(U13:U17)</f>
        <v>0</v>
      </c>
      <c r="V12" s="294"/>
    </row>
    <row r="13" spans="1:23" ht="48" customHeight="1">
      <c r="A13" s="12"/>
      <c r="B13" s="12" t="s">
        <v>835</v>
      </c>
      <c r="C13" s="19" t="s">
        <v>887</v>
      </c>
      <c r="D13" s="93">
        <f t="shared" si="0"/>
        <v>22328750</v>
      </c>
      <c r="E13" s="94">
        <v>10000000</v>
      </c>
      <c r="F13" s="94">
        <v>5000000</v>
      </c>
      <c r="G13" s="94">
        <f>4500000+2828750</f>
        <v>7328750</v>
      </c>
      <c r="H13" s="94">
        <v>0</v>
      </c>
      <c r="I13" s="94">
        <v>0</v>
      </c>
      <c r="J13" s="94">
        <v>0</v>
      </c>
      <c r="K13" s="94">
        <v>0</v>
      </c>
      <c r="L13" s="197">
        <v>0</v>
      </c>
      <c r="M13" s="93">
        <f t="shared" si="2"/>
        <v>22328750</v>
      </c>
      <c r="N13" s="94">
        <v>10000000</v>
      </c>
      <c r="O13" s="94">
        <v>5000000</v>
      </c>
      <c r="P13" s="94">
        <f>4500000+2828750</f>
        <v>7328750</v>
      </c>
      <c r="Q13" s="94">
        <v>0</v>
      </c>
      <c r="R13" s="94">
        <v>0</v>
      </c>
      <c r="S13" s="94">
        <v>0</v>
      </c>
      <c r="T13" s="94">
        <v>0</v>
      </c>
      <c r="U13" s="197">
        <v>0</v>
      </c>
      <c r="V13" s="256" t="s">
        <v>1321</v>
      </c>
      <c r="W13" s="32"/>
    </row>
    <row r="14" spans="1:22" ht="30">
      <c r="A14" s="12"/>
      <c r="B14" s="12" t="s">
        <v>836</v>
      </c>
      <c r="C14" s="130" t="s">
        <v>837</v>
      </c>
      <c r="D14" s="93">
        <f t="shared" si="0"/>
        <v>15000000</v>
      </c>
      <c r="E14" s="94">
        <v>10000000</v>
      </c>
      <c r="F14" s="94">
        <v>5000000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197">
        <v>0</v>
      </c>
      <c r="M14" s="93">
        <f t="shared" si="2"/>
        <v>15000000</v>
      </c>
      <c r="N14" s="94">
        <v>10000000</v>
      </c>
      <c r="O14" s="94">
        <v>5000000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197">
        <v>0</v>
      </c>
      <c r="V14" s="260" t="s">
        <v>1322</v>
      </c>
    </row>
    <row r="15" spans="1:22" ht="30">
      <c r="A15" s="12"/>
      <c r="B15" s="12" t="s">
        <v>838</v>
      </c>
      <c r="C15" s="19" t="s">
        <v>839</v>
      </c>
      <c r="D15" s="93">
        <f>SUM(E15:L15)</f>
        <v>40000000</v>
      </c>
      <c r="E15" s="94">
        <v>20000000</v>
      </c>
      <c r="F15" s="94">
        <v>10000000</v>
      </c>
      <c r="G15" s="94">
        <v>10000000</v>
      </c>
      <c r="H15" s="94">
        <v>0</v>
      </c>
      <c r="I15" s="94">
        <v>0</v>
      </c>
      <c r="J15" s="94">
        <v>0</v>
      </c>
      <c r="K15" s="94">
        <v>0</v>
      </c>
      <c r="L15" s="197">
        <v>0</v>
      </c>
      <c r="M15" s="93">
        <f t="shared" si="2"/>
        <v>40000000</v>
      </c>
      <c r="N15" s="94">
        <v>20000000</v>
      </c>
      <c r="O15" s="94">
        <v>10000000</v>
      </c>
      <c r="P15" s="94">
        <v>10000000</v>
      </c>
      <c r="Q15" s="94">
        <v>0</v>
      </c>
      <c r="R15" s="94">
        <v>0</v>
      </c>
      <c r="S15" s="94">
        <v>0</v>
      </c>
      <c r="T15" s="94">
        <v>0</v>
      </c>
      <c r="U15" s="197">
        <v>0</v>
      </c>
      <c r="V15" s="260" t="s">
        <v>1323</v>
      </c>
    </row>
    <row r="16" spans="1:22" ht="18">
      <c r="A16" s="12"/>
      <c r="B16" s="12" t="s">
        <v>840</v>
      </c>
      <c r="C16" s="19" t="s">
        <v>841</v>
      </c>
      <c r="D16" s="93">
        <f>SUM(E16:L16)</f>
        <v>16098000</v>
      </c>
      <c r="E16" s="94">
        <v>10400000</v>
      </c>
      <c r="F16" s="94">
        <v>2698000</v>
      </c>
      <c r="G16" s="94">
        <v>3000000</v>
      </c>
      <c r="H16" s="94">
        <v>0</v>
      </c>
      <c r="I16" s="94">
        <v>0</v>
      </c>
      <c r="J16" s="94">
        <v>0</v>
      </c>
      <c r="K16" s="94">
        <v>0</v>
      </c>
      <c r="L16" s="197">
        <v>0</v>
      </c>
      <c r="M16" s="93">
        <f t="shared" si="2"/>
        <v>16098000</v>
      </c>
      <c r="N16" s="94">
        <v>10400000</v>
      </c>
      <c r="O16" s="94">
        <v>2698000</v>
      </c>
      <c r="P16" s="94">
        <v>3000000</v>
      </c>
      <c r="Q16" s="94">
        <v>0</v>
      </c>
      <c r="R16" s="94">
        <v>0</v>
      </c>
      <c r="S16" s="94">
        <v>0</v>
      </c>
      <c r="T16" s="94">
        <v>0</v>
      </c>
      <c r="U16" s="197">
        <v>0</v>
      </c>
      <c r="V16" s="260" t="s">
        <v>1324</v>
      </c>
    </row>
    <row r="17" spans="1:22" ht="45">
      <c r="A17" s="12"/>
      <c r="B17" s="12" t="s">
        <v>842</v>
      </c>
      <c r="C17" s="19" t="s">
        <v>844</v>
      </c>
      <c r="D17" s="93">
        <f>SUM(E17:L17)</f>
        <v>2000000</v>
      </c>
      <c r="E17" s="94">
        <v>0</v>
      </c>
      <c r="F17" s="94">
        <v>0</v>
      </c>
      <c r="G17" s="94">
        <v>2000000</v>
      </c>
      <c r="H17" s="94">
        <v>0</v>
      </c>
      <c r="I17" s="94">
        <v>0</v>
      </c>
      <c r="J17" s="94">
        <v>0</v>
      </c>
      <c r="K17" s="94">
        <v>0</v>
      </c>
      <c r="L17" s="197">
        <v>0</v>
      </c>
      <c r="M17" s="93">
        <f t="shared" si="2"/>
        <v>2000000</v>
      </c>
      <c r="N17" s="94">
        <v>0</v>
      </c>
      <c r="O17" s="94">
        <v>0</v>
      </c>
      <c r="P17" s="94">
        <v>2000000</v>
      </c>
      <c r="Q17" s="94">
        <v>0</v>
      </c>
      <c r="R17" s="94">
        <v>0</v>
      </c>
      <c r="S17" s="94">
        <v>0</v>
      </c>
      <c r="T17" s="94">
        <v>0</v>
      </c>
      <c r="U17" s="197">
        <v>0</v>
      </c>
      <c r="V17" s="260">
        <v>54126</v>
      </c>
    </row>
    <row r="18" spans="1:22" ht="105">
      <c r="A18" s="12"/>
      <c r="B18" s="12" t="s">
        <v>843</v>
      </c>
      <c r="C18" s="19" t="s">
        <v>1119</v>
      </c>
      <c r="D18" s="93">
        <f>SUM(E18:L18)</f>
        <v>8500000</v>
      </c>
      <c r="E18" s="94">
        <v>0</v>
      </c>
      <c r="F18" s="94">
        <v>0</v>
      </c>
      <c r="G18" s="94">
        <v>8500000</v>
      </c>
      <c r="H18" s="94">
        <v>0</v>
      </c>
      <c r="I18" s="94">
        <v>0</v>
      </c>
      <c r="J18" s="94">
        <v>0</v>
      </c>
      <c r="K18" s="94">
        <v>0</v>
      </c>
      <c r="L18" s="197">
        <v>0</v>
      </c>
      <c r="M18" s="93">
        <f t="shared" si="2"/>
        <v>8500000</v>
      </c>
      <c r="N18" s="94">
        <v>0</v>
      </c>
      <c r="O18" s="94">
        <v>0</v>
      </c>
      <c r="P18" s="94">
        <v>8500000</v>
      </c>
      <c r="Q18" s="94">
        <v>0</v>
      </c>
      <c r="R18" s="94">
        <v>0</v>
      </c>
      <c r="S18" s="94">
        <v>0</v>
      </c>
      <c r="T18" s="94">
        <v>0</v>
      </c>
      <c r="U18" s="197">
        <v>0</v>
      </c>
      <c r="V18" s="260">
        <v>54127</v>
      </c>
    </row>
    <row r="19" spans="1:22" ht="120">
      <c r="A19" s="12"/>
      <c r="B19" s="12" t="s">
        <v>1190</v>
      </c>
      <c r="C19" s="19" t="s">
        <v>1229</v>
      </c>
      <c r="D19" s="93">
        <f>SUM(E19:L19)</f>
        <v>750000</v>
      </c>
      <c r="E19" s="94">
        <v>0</v>
      </c>
      <c r="F19" s="94">
        <v>0</v>
      </c>
      <c r="G19" s="94">
        <v>750000</v>
      </c>
      <c r="H19" s="94">
        <v>0</v>
      </c>
      <c r="I19" s="94">
        <v>0</v>
      </c>
      <c r="J19" s="94">
        <v>0</v>
      </c>
      <c r="K19" s="94">
        <v>0</v>
      </c>
      <c r="L19" s="197">
        <v>0</v>
      </c>
      <c r="M19" s="93">
        <f t="shared" si="2"/>
        <v>750000</v>
      </c>
      <c r="N19" s="94">
        <v>0</v>
      </c>
      <c r="O19" s="94">
        <v>0</v>
      </c>
      <c r="P19" s="94">
        <v>750000</v>
      </c>
      <c r="Q19" s="94">
        <v>0</v>
      </c>
      <c r="R19" s="94">
        <v>0</v>
      </c>
      <c r="S19" s="94">
        <v>0</v>
      </c>
      <c r="T19" s="94">
        <v>0</v>
      </c>
      <c r="U19" s="197">
        <v>0</v>
      </c>
      <c r="V19" s="260">
        <v>54128</v>
      </c>
    </row>
    <row r="20" spans="1:22" s="129" customFormat="1" ht="18">
      <c r="A20" s="118" t="s">
        <v>74</v>
      </c>
      <c r="B20" s="118"/>
      <c r="C20" s="119" t="s">
        <v>44</v>
      </c>
      <c r="D20" s="24">
        <f t="shared" si="0"/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3">
        <v>0</v>
      </c>
      <c r="M20" s="24">
        <f t="shared" si="2"/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3">
        <v>0</v>
      </c>
      <c r="V20" s="324"/>
    </row>
    <row r="21" spans="1:22" ht="18">
      <c r="A21" s="402" t="s">
        <v>315</v>
      </c>
      <c r="B21" s="402"/>
      <c r="C21" s="402"/>
      <c r="D21" s="24">
        <f t="shared" si="0"/>
        <v>186923620</v>
      </c>
      <c r="E21" s="120">
        <f aca="true" t="shared" si="3" ref="E21:L21">E10+E12+E20</f>
        <v>58203000</v>
      </c>
      <c r="F21" s="120">
        <f t="shared" si="3"/>
        <v>24217885</v>
      </c>
      <c r="G21" s="120">
        <f t="shared" si="3"/>
        <v>104502735</v>
      </c>
      <c r="H21" s="120">
        <f t="shared" si="3"/>
        <v>0</v>
      </c>
      <c r="I21" s="120">
        <f t="shared" si="3"/>
        <v>0</v>
      </c>
      <c r="J21" s="120">
        <f t="shared" si="3"/>
        <v>0</v>
      </c>
      <c r="K21" s="120">
        <f t="shared" si="3"/>
        <v>0</v>
      </c>
      <c r="L21" s="127">
        <f t="shared" si="3"/>
        <v>0</v>
      </c>
      <c r="M21" s="24">
        <f t="shared" si="2"/>
        <v>186923620</v>
      </c>
      <c r="N21" s="120">
        <f aca="true" t="shared" si="4" ref="N21:U21">N10+N12+N20</f>
        <v>58203000</v>
      </c>
      <c r="O21" s="120">
        <f t="shared" si="4"/>
        <v>24217885</v>
      </c>
      <c r="P21" s="120">
        <f t="shared" si="4"/>
        <v>104502735</v>
      </c>
      <c r="Q21" s="120">
        <f t="shared" si="4"/>
        <v>0</v>
      </c>
      <c r="R21" s="120">
        <f t="shared" si="4"/>
        <v>0</v>
      </c>
      <c r="S21" s="120">
        <f t="shared" si="4"/>
        <v>0</v>
      </c>
      <c r="T21" s="120">
        <f t="shared" si="4"/>
        <v>0</v>
      </c>
      <c r="U21" s="127">
        <f t="shared" si="4"/>
        <v>0</v>
      </c>
      <c r="V21" s="257"/>
    </row>
    <row r="22" spans="4:13" ht="12.75">
      <c r="D22" s="128"/>
      <c r="M22" s="128"/>
    </row>
    <row r="24" spans="11:21" ht="12.75">
      <c r="K24" s="32"/>
      <c r="L24" s="32" t="s">
        <v>487</v>
      </c>
      <c r="T24" s="32"/>
      <c r="U24" s="32" t="s">
        <v>487</v>
      </c>
    </row>
    <row r="25" spans="6:15" ht="12.75">
      <c r="F25" s="128"/>
      <c r="O25" s="128"/>
    </row>
  </sheetData>
  <sheetProtection/>
  <mergeCells count="17">
    <mergeCell ref="A1:V1"/>
    <mergeCell ref="V7:V10"/>
    <mergeCell ref="A21:C21"/>
    <mergeCell ref="D7:D9"/>
    <mergeCell ref="E7:L7"/>
    <mergeCell ref="E8:I8"/>
    <mergeCell ref="J8:L8"/>
    <mergeCell ref="A2:V2"/>
    <mergeCell ref="M7:M9"/>
    <mergeCell ref="N7:U7"/>
    <mergeCell ref="N8:R8"/>
    <mergeCell ref="S8:U8"/>
    <mergeCell ref="A3:V3"/>
    <mergeCell ref="A4:V4"/>
    <mergeCell ref="A7:A9"/>
    <mergeCell ref="C7:C9"/>
    <mergeCell ref="B7:B9"/>
  </mergeCells>
  <printOptions horizontalCentered="1" verticalCentered="1"/>
  <pageMargins left="0.25" right="0.25" top="0.75" bottom="0.75" header="0.3" footer="0.3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Almási László</dc:creator>
  <cp:keywords/>
  <dc:description/>
  <cp:lastModifiedBy>Szilágyi Béla</cp:lastModifiedBy>
  <cp:lastPrinted>2019-04-17T08:38:07Z</cp:lastPrinted>
  <dcterms:created xsi:type="dcterms:W3CDTF">2018-01-24T09:14:24Z</dcterms:created>
  <dcterms:modified xsi:type="dcterms:W3CDTF">2019-04-24T09:55:34Z</dcterms:modified>
  <cp:category/>
  <cp:version/>
  <cp:contentType/>
  <cp:contentStatus/>
</cp:coreProperties>
</file>