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sik\1 képviselő testület\jegyzőkönyvek\2019\rendeletek\"/>
    </mc:Choice>
  </mc:AlternateContent>
  <xr:revisionPtr revIDLastSave="0" documentId="8_{50D87B0E-FEB5-4EA0-9C97-896A4D191985}" xr6:coauthVersionLast="41" xr6:coauthVersionMax="41" xr10:uidLastSave="{00000000-0000-0000-0000-000000000000}"/>
  <bookViews>
    <workbookView xWindow="-120" yWindow="-120" windowWidth="19440" windowHeight="15000" tabRatio="915" xr2:uid="{00000000-000D-0000-FFFF-FFFF00000000}"/>
  </bookViews>
  <sheets>
    <sheet name="ÖSSZESÍTŐ" sheetId="10" r:id="rId1"/>
    <sheet name="Közhatalmi bevételek" sheetId="8" r:id="rId2"/>
    <sheet name="Település-üzemeltetés" sheetId="1" r:id="rId3"/>
    <sheet name="Szociális feladatok" sheetId="7" r:id="rId4"/>
    <sheet name="Kulturális feladatok" sheetId="5" r:id="rId5"/>
    <sheet name="Művelődési feladatok" sheetId="13" r:id="rId6"/>
    <sheet name="Közmunkaprogram" sheetId="2" r:id="rId7"/>
    <sheet name="Koncessziós díj és vízterm." sheetId="11" r:id="rId8"/>
    <sheet name="Civil szervezetek" sheetId="6" r:id="rId9"/>
    <sheet name="Ravatalozó" sheetId="12" r:id="rId10"/>
    <sheet name="Sportpálya" sheetId="4" r:id="rId11"/>
    <sheet name="Hivatal felújítás pályázat" sheetId="15" r:id="rId12"/>
    <sheet name="Vis maior - Kinizsi u." sheetId="16" r:id="rId13"/>
    <sheet name="Vis maior - Török u." sheetId="17" r:id="rId14"/>
    <sheet name="Téli rezsicsökkentés pályázat" sheetId="18" r:id="rId15"/>
  </sheets>
  <definedNames>
    <definedName name="_xlnm.Print_Area" localSheetId="0">ÖSSZESÍTŐ!$A$1:$D$149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0" l="1"/>
  <c r="D145" i="10" l="1"/>
  <c r="D146" i="10"/>
  <c r="E65" i="10" l="1"/>
  <c r="E64" i="10"/>
  <c r="D108" i="10"/>
  <c r="D105" i="10"/>
  <c r="D103" i="10"/>
  <c r="D102" i="10"/>
  <c r="D101" i="10"/>
  <c r="D100" i="10"/>
  <c r="D92" i="10"/>
  <c r="D91" i="10"/>
  <c r="D89" i="10"/>
  <c r="D88" i="10"/>
  <c r="D86" i="10"/>
  <c r="D84" i="10"/>
  <c r="D83" i="10"/>
  <c r="D75" i="10"/>
  <c r="D74" i="10"/>
  <c r="D73" i="10"/>
  <c r="D72" i="10"/>
  <c r="D15" i="10"/>
  <c r="D18" i="10" s="1"/>
  <c r="D35" i="11"/>
  <c r="D36" i="11" s="1"/>
  <c r="G56" i="7"/>
  <c r="D133" i="10"/>
  <c r="D6" i="6"/>
  <c r="D15" i="6" s="1"/>
  <c r="D8" i="6"/>
  <c r="D64" i="10" l="1"/>
  <c r="D134" i="10"/>
  <c r="D131" i="10"/>
  <c r="D136" i="10"/>
  <c r="F57" i="5"/>
  <c r="F28" i="5"/>
  <c r="F43" i="7"/>
  <c r="E86" i="1"/>
  <c r="F68" i="5"/>
  <c r="F65" i="5"/>
  <c r="D12" i="10"/>
  <c r="D116" i="10" l="1"/>
  <c r="D117" i="10" s="1"/>
  <c r="D7" i="12" l="1"/>
  <c r="D50" i="10"/>
  <c r="D44" i="10"/>
  <c r="D20" i="10"/>
  <c r="D19" i="10"/>
  <c r="D20" i="13"/>
  <c r="D15" i="13"/>
  <c r="D18" i="13"/>
  <c r="E15" i="13"/>
  <c r="E14" i="13" s="1"/>
  <c r="E16" i="13" s="1"/>
  <c r="E23" i="13"/>
  <c r="E17" i="13"/>
  <c r="E19" i="13" s="1"/>
  <c r="D21" i="10" l="1"/>
  <c r="E20" i="13"/>
  <c r="E21" i="13" s="1"/>
  <c r="E24" i="13" s="1"/>
  <c r="E25" i="13" s="1"/>
  <c r="F34" i="7"/>
  <c r="F53" i="5"/>
  <c r="D41" i="7"/>
  <c r="D113" i="10" l="1"/>
  <c r="D17" i="10"/>
  <c r="D43" i="10"/>
  <c r="D15" i="18"/>
  <c r="D11" i="18"/>
  <c r="D12" i="18" s="1"/>
  <c r="D13" i="18" s="1"/>
  <c r="D14" i="18" s="1"/>
  <c r="D7" i="18"/>
  <c r="D7" i="17"/>
  <c r="D12" i="17"/>
  <c r="D16" i="17" s="1"/>
  <c r="D15" i="17"/>
  <c r="D17" i="17"/>
  <c r="D18" i="17"/>
  <c r="D19" i="17"/>
  <c r="D20" i="17" s="1"/>
  <c r="D21" i="17" s="1"/>
  <c r="D126" i="10"/>
  <c r="D62" i="10"/>
  <c r="F11" i="8"/>
  <c r="F8" i="8"/>
  <c r="F7" i="8"/>
  <c r="D66" i="10" l="1"/>
  <c r="D68" i="10" s="1"/>
  <c r="D69" i="10" s="1"/>
  <c r="D65" i="10"/>
  <c r="D127" i="10" s="1"/>
  <c r="E125" i="10" s="1"/>
  <c r="E10" i="8"/>
  <c r="H35" i="1"/>
  <c r="H34" i="1"/>
  <c r="D32" i="1"/>
  <c r="D26" i="1"/>
  <c r="H32" i="1"/>
  <c r="H21" i="1"/>
  <c r="E18" i="8"/>
  <c r="D9" i="8"/>
  <c r="F18" i="8"/>
  <c r="D6" i="8"/>
  <c r="D7" i="8"/>
  <c r="D8" i="8"/>
  <c r="D10" i="8"/>
  <c r="D11" i="8"/>
  <c r="D12" i="8"/>
  <c r="D13" i="8"/>
  <c r="D14" i="8"/>
  <c r="D15" i="8"/>
  <c r="D17" i="8"/>
  <c r="D16" i="8"/>
  <c r="D39" i="11"/>
  <c r="D139" i="10" s="1"/>
  <c r="D140" i="10" s="1"/>
  <c r="D17" i="16"/>
  <c r="D18" i="16" s="1"/>
  <c r="D18" i="8" l="1"/>
  <c r="D56" i="10"/>
  <c r="D15" i="2"/>
  <c r="D18" i="2"/>
  <c r="E6" i="7"/>
  <c r="F31" i="7"/>
  <c r="F12" i="5"/>
  <c r="F18" i="5" s="1"/>
  <c r="E37" i="5"/>
  <c r="E34" i="5"/>
  <c r="E20" i="5"/>
  <c r="E18" i="5"/>
  <c r="E12" i="5"/>
  <c r="E67" i="5"/>
  <c r="E68" i="5" s="1"/>
  <c r="H11" i="1"/>
  <c r="H6" i="1" l="1"/>
  <c r="G41" i="1"/>
  <c r="D17" i="15"/>
  <c r="D6" i="15"/>
  <c r="E43" i="1"/>
  <c r="D18" i="12"/>
  <c r="D20" i="12" s="1"/>
  <c r="D8" i="12"/>
  <c r="D55" i="1"/>
  <c r="D70" i="1" s="1"/>
  <c r="D6" i="2"/>
  <c r="D8" i="10"/>
  <c r="D6" i="10"/>
  <c r="D14" i="1"/>
  <c r="H16" i="1" l="1"/>
  <c r="G37" i="7"/>
  <c r="G36" i="7"/>
  <c r="D40" i="10" l="1"/>
  <c r="D37" i="10"/>
  <c r="D39" i="10"/>
  <c r="D18" i="15" l="1"/>
  <c r="G35" i="7" l="1"/>
  <c r="H39" i="1" l="1"/>
  <c r="G43" i="7"/>
  <c r="G44" i="7"/>
  <c r="G42" i="7"/>
  <c r="D120" i="10" s="1"/>
  <c r="H89" i="1"/>
  <c r="D34" i="11"/>
  <c r="D19" i="16"/>
  <c r="D20" i="16" s="1"/>
  <c r="D15" i="16"/>
  <c r="D12" i="16"/>
  <c r="D16" i="16" s="1"/>
  <c r="D7" i="16"/>
  <c r="F28" i="11"/>
  <c r="F35" i="11"/>
  <c r="F39" i="11"/>
  <c r="F40" i="11" s="1"/>
  <c r="F15" i="11"/>
  <c r="F17" i="11" s="1"/>
  <c r="F18" i="11"/>
  <c r="F22" i="11" s="1"/>
  <c r="F23" i="11"/>
  <c r="F25" i="11" s="1"/>
  <c r="F10" i="11"/>
  <c r="D59" i="10" s="1"/>
  <c r="D58" i="10" s="1"/>
  <c r="D60" i="10" s="1"/>
  <c r="D123" i="10" l="1"/>
  <c r="D21" i="16"/>
  <c r="F41" i="11"/>
  <c r="F26" i="11"/>
  <c r="F29" i="11" s="1"/>
  <c r="F42" i="11" s="1"/>
  <c r="F40" i="7" l="1"/>
  <c r="F46" i="7" s="1"/>
  <c r="E70" i="1"/>
  <c r="D60" i="1"/>
  <c r="D27" i="2" l="1"/>
  <c r="F59" i="5"/>
  <c r="D29" i="10"/>
  <c r="D28" i="10" s="1"/>
  <c r="D31" i="10"/>
  <c r="D30" i="10" s="1"/>
  <c r="D33" i="10"/>
  <c r="D32" i="10" s="1"/>
  <c r="D27" i="10"/>
  <c r="D26" i="10"/>
  <c r="D25" i="10" s="1"/>
  <c r="D34" i="10" l="1"/>
  <c r="D17" i="2"/>
  <c r="D7" i="10"/>
  <c r="D14" i="10" s="1"/>
  <c r="H84" i="1" l="1"/>
  <c r="H85" i="1" s="1"/>
  <c r="D9" i="13"/>
  <c r="I52" i="1" l="1"/>
  <c r="F70" i="1"/>
  <c r="E85" i="1" l="1"/>
  <c r="F29" i="7"/>
  <c r="F39" i="7" s="1"/>
  <c r="I29" i="7"/>
  <c r="D85" i="10"/>
  <c r="D54" i="10"/>
  <c r="D9" i="4" l="1"/>
  <c r="D14" i="4" s="1"/>
  <c r="I8" i="7" l="1"/>
  <c r="D27" i="7"/>
  <c r="D78" i="1"/>
  <c r="D122" i="10"/>
  <c r="D121" i="10" s="1"/>
  <c r="D57" i="5"/>
  <c r="D59" i="5" s="1"/>
  <c r="I76" i="1"/>
  <c r="D12" i="15" l="1"/>
  <c r="D15" i="15"/>
  <c r="D16" i="2"/>
  <c r="D16" i="15" l="1"/>
  <c r="D8" i="2"/>
  <c r="D19" i="15"/>
  <c r="D20" i="15" s="1"/>
  <c r="E89" i="1"/>
  <c r="E90" i="1" s="1"/>
  <c r="E91" i="1" s="1"/>
  <c r="D16" i="10" l="1"/>
  <c r="D7" i="11"/>
  <c r="D46" i="10"/>
  <c r="D45" i="10" s="1"/>
  <c r="D38" i="10"/>
  <c r="D36" i="10"/>
  <c r="D23" i="10"/>
  <c r="D22" i="10" s="1"/>
  <c r="D24" i="10" s="1"/>
  <c r="I44" i="1"/>
  <c r="D42" i="10"/>
  <c r="I21" i="1"/>
  <c r="D35" i="10" l="1"/>
  <c r="D41" i="10" s="1"/>
  <c r="D71" i="1"/>
  <c r="D74" i="1" s="1"/>
  <c r="D48" i="10"/>
  <c r="D53" i="10" s="1"/>
  <c r="D10" i="11"/>
  <c r="D11" i="11" s="1"/>
  <c r="D21" i="15"/>
  <c r="D7" i="15"/>
  <c r="D36" i="12"/>
  <c r="D31" i="12"/>
  <c r="D24" i="12"/>
  <c r="D16" i="12"/>
  <c r="D19" i="12" s="1"/>
  <c r="D40" i="11"/>
  <c r="D28" i="11"/>
  <c r="I53" i="7"/>
  <c r="I54" i="7" s="1"/>
  <c r="I40" i="7"/>
  <c r="I46" i="7" s="1"/>
  <c r="I31" i="7"/>
  <c r="I27" i="7"/>
  <c r="I20" i="7"/>
  <c r="I24" i="7" s="1"/>
  <c r="I13" i="7"/>
  <c r="I17" i="7" s="1"/>
  <c r="E29" i="7"/>
  <c r="G30" i="7"/>
  <c r="D29" i="7"/>
  <c r="D41" i="11" l="1"/>
  <c r="I39" i="7"/>
  <c r="G29" i="7"/>
  <c r="I28" i="7"/>
  <c r="D23" i="13"/>
  <c r="D17" i="13"/>
  <c r="D19" i="13" s="1"/>
  <c r="D14" i="13"/>
  <c r="D21" i="12"/>
  <c r="D13" i="12"/>
  <c r="D15" i="12" s="1"/>
  <c r="D29" i="11"/>
  <c r="D16" i="13" l="1"/>
  <c r="D42" i="11"/>
  <c r="D43" i="11" s="1"/>
  <c r="D21" i="13"/>
  <c r="D24" i="13" s="1"/>
  <c r="D25" i="13" s="1"/>
  <c r="I47" i="7"/>
  <c r="I55" i="7" s="1"/>
  <c r="D22" i="12"/>
  <c r="D25" i="12" s="1"/>
  <c r="D37" i="12"/>
  <c r="E53" i="7"/>
  <c r="E54" i="7" s="1"/>
  <c r="F53" i="7"/>
  <c r="F54" i="7" s="1"/>
  <c r="D53" i="7"/>
  <c r="D54" i="7" s="1"/>
  <c r="E40" i="7"/>
  <c r="E46" i="7" s="1"/>
  <c r="D40" i="7"/>
  <c r="D46" i="7" s="1"/>
  <c r="G46" i="7" s="1"/>
  <c r="E31" i="7"/>
  <c r="E39" i="7" s="1"/>
  <c r="D31" i="7"/>
  <c r="D39" i="7" s="1"/>
  <c r="G39" i="7" s="1"/>
  <c r="E27" i="7"/>
  <c r="F27" i="7"/>
  <c r="E20" i="7"/>
  <c r="E24" i="7" s="1"/>
  <c r="F24" i="7"/>
  <c r="D20" i="7"/>
  <c r="D24" i="7" s="1"/>
  <c r="G14" i="7"/>
  <c r="G15" i="7"/>
  <c r="G16" i="7"/>
  <c r="G18" i="7"/>
  <c r="G19" i="7"/>
  <c r="G21" i="7"/>
  <c r="G22" i="7"/>
  <c r="G23" i="7"/>
  <c r="G25" i="7"/>
  <c r="G26" i="7"/>
  <c r="G32" i="7"/>
  <c r="G33" i="7"/>
  <c r="G38" i="7"/>
  <c r="G34" i="7"/>
  <c r="G41" i="7"/>
  <c r="D119" i="10" s="1"/>
  <c r="D118" i="10" s="1"/>
  <c r="D128" i="10" s="1"/>
  <c r="G45" i="7"/>
  <c r="G48" i="7"/>
  <c r="G49" i="7"/>
  <c r="G50" i="7"/>
  <c r="G51" i="7"/>
  <c r="G52" i="7"/>
  <c r="E13" i="7"/>
  <c r="E17" i="7" s="1"/>
  <c r="F17" i="7"/>
  <c r="D13" i="7"/>
  <c r="D17" i="7" s="1"/>
  <c r="G13" i="5"/>
  <c r="G14" i="5"/>
  <c r="G18" i="5"/>
  <c r="G19" i="5"/>
  <c r="G20" i="5"/>
  <c r="G23" i="5"/>
  <c r="G24" i="5"/>
  <c r="G26" i="5"/>
  <c r="G27" i="5"/>
  <c r="G28" i="5"/>
  <c r="G29" i="5"/>
  <c r="G30" i="5"/>
  <c r="G31" i="5"/>
  <c r="G34" i="5"/>
  <c r="G35" i="5"/>
  <c r="G37" i="5"/>
  <c r="G40" i="5"/>
  <c r="D95" i="10" s="1"/>
  <c r="G41" i="5"/>
  <c r="G42" i="5"/>
  <c r="G43" i="5"/>
  <c r="G44" i="5"/>
  <c r="G45" i="5"/>
  <c r="G46" i="5"/>
  <c r="G47" i="5"/>
  <c r="G49" i="5"/>
  <c r="G50" i="5"/>
  <c r="G51" i="5"/>
  <c r="G52" i="5"/>
  <c r="G54" i="5"/>
  <c r="G55" i="5"/>
  <c r="G57" i="5"/>
  <c r="G58" i="5"/>
  <c r="G61" i="5"/>
  <c r="G64" i="5"/>
  <c r="G65" i="5"/>
  <c r="G66" i="5"/>
  <c r="G67" i="5"/>
  <c r="G68" i="5"/>
  <c r="G70" i="5"/>
  <c r="G71" i="5"/>
  <c r="G72" i="5"/>
  <c r="G73" i="5"/>
  <c r="G12" i="5"/>
  <c r="D8" i="7"/>
  <c r="E8" i="7" s="1"/>
  <c r="G54" i="7" l="1"/>
  <c r="F28" i="7"/>
  <c r="F47" i="7" s="1"/>
  <c r="F55" i="7" s="1"/>
  <c r="D28" i="7"/>
  <c r="D47" i="7" s="1"/>
  <c r="E28" i="7"/>
  <c r="E47" i="7" s="1"/>
  <c r="E55" i="7" s="1"/>
  <c r="D38" i="12"/>
  <c r="G53" i="7"/>
  <c r="G17" i="7"/>
  <c r="G20" i="7"/>
  <c r="G13" i="7"/>
  <c r="G40" i="7"/>
  <c r="G31" i="7"/>
  <c r="D114" i="10" s="1"/>
  <c r="D115" i="10" s="1"/>
  <c r="G27" i="7"/>
  <c r="G24" i="7"/>
  <c r="F74" i="5"/>
  <c r="E74" i="5"/>
  <c r="D74" i="5"/>
  <c r="F69" i="5"/>
  <c r="E69" i="5"/>
  <c r="D69" i="5"/>
  <c r="F62" i="5"/>
  <c r="E62" i="5"/>
  <c r="D62" i="5"/>
  <c r="E59" i="5"/>
  <c r="F56" i="5"/>
  <c r="E56" i="5"/>
  <c r="D56" i="5"/>
  <c r="F48" i="5"/>
  <c r="E48" i="5"/>
  <c r="D48" i="5"/>
  <c r="F39" i="5"/>
  <c r="E39" i="5"/>
  <c r="D39" i="5"/>
  <c r="F36" i="5"/>
  <c r="E36" i="5"/>
  <c r="D36" i="5"/>
  <c r="F33" i="5"/>
  <c r="E33" i="5"/>
  <c r="D33" i="5"/>
  <c r="F25" i="5"/>
  <c r="E25" i="5"/>
  <c r="D25" i="5"/>
  <c r="F22" i="5"/>
  <c r="E22" i="5"/>
  <c r="D22" i="5"/>
  <c r="D15" i="5"/>
  <c r="E15" i="5"/>
  <c r="E16" i="5" s="1"/>
  <c r="F15" i="5"/>
  <c r="F16" i="5" s="1"/>
  <c r="D17" i="5"/>
  <c r="E17" i="5"/>
  <c r="F17" i="5"/>
  <c r="D7" i="5"/>
  <c r="D19" i="4"/>
  <c r="D31" i="4"/>
  <c r="D26" i="4"/>
  <c r="D16" i="4"/>
  <c r="D6" i="4"/>
  <c r="D8" i="4" s="1"/>
  <c r="E78" i="1"/>
  <c r="F78" i="1"/>
  <c r="G78" i="1"/>
  <c r="H78" i="1"/>
  <c r="I58" i="1"/>
  <c r="D33" i="2"/>
  <c r="E74" i="1"/>
  <c r="F74" i="1"/>
  <c r="G74" i="1"/>
  <c r="H74" i="1"/>
  <c r="E69" i="1"/>
  <c r="F69" i="1"/>
  <c r="G69" i="1"/>
  <c r="H69" i="1"/>
  <c r="D69" i="1"/>
  <c r="D20" i="2"/>
  <c r="D53" i="5" l="1"/>
  <c r="D55" i="7"/>
  <c r="G47" i="7"/>
  <c r="E53" i="5"/>
  <c r="E38" i="5"/>
  <c r="D17" i="4"/>
  <c r="D20" i="4" s="1"/>
  <c r="G55" i="7"/>
  <c r="G59" i="5"/>
  <c r="G36" i="5"/>
  <c r="D32" i="4"/>
  <c r="G17" i="5"/>
  <c r="G22" i="5"/>
  <c r="G39" i="5"/>
  <c r="G62" i="5"/>
  <c r="E32" i="5"/>
  <c r="F75" i="5"/>
  <c r="G74" i="5"/>
  <c r="G28" i="7"/>
  <c r="G33" i="5"/>
  <c r="G56" i="5"/>
  <c r="D16" i="5"/>
  <c r="G16" i="5" s="1"/>
  <c r="G15" i="5"/>
  <c r="G25" i="5"/>
  <c r="G48" i="5"/>
  <c r="G69" i="5"/>
  <c r="D38" i="5"/>
  <c r="D75" i="5"/>
  <c r="F32" i="5"/>
  <c r="D32" i="5"/>
  <c r="F38" i="5"/>
  <c r="F60" i="5" s="1"/>
  <c r="F63" i="5" s="1"/>
  <c r="E75" i="5"/>
  <c r="E21" i="5"/>
  <c r="F21" i="5"/>
  <c r="D21" i="5" l="1"/>
  <c r="D33" i="4"/>
  <c r="E60" i="5"/>
  <c r="E63" i="5" s="1"/>
  <c r="E76" i="5" s="1"/>
  <c r="G32" i="5"/>
  <c r="G38" i="5"/>
  <c r="G21" i="5"/>
  <c r="F76" i="5"/>
  <c r="G75" i="5"/>
  <c r="D60" i="5" l="1"/>
  <c r="G53" i="5"/>
  <c r="D45" i="2"/>
  <c r="D40" i="2"/>
  <c r="D21" i="2"/>
  <c r="F90" i="1"/>
  <c r="G90" i="1"/>
  <c r="H90" i="1"/>
  <c r="I89" i="1" s="1"/>
  <c r="D90" i="1"/>
  <c r="F85" i="1"/>
  <c r="G85" i="1"/>
  <c r="D85" i="1"/>
  <c r="I70" i="1"/>
  <c r="E60" i="1"/>
  <c r="F60" i="1"/>
  <c r="G60" i="1"/>
  <c r="H60" i="1"/>
  <c r="E51" i="1"/>
  <c r="E66" i="1" s="1"/>
  <c r="F51" i="1"/>
  <c r="F66" i="1" s="1"/>
  <c r="G51" i="1"/>
  <c r="H51" i="1"/>
  <c r="D51" i="1"/>
  <c r="D66" i="1" s="1"/>
  <c r="E48" i="1"/>
  <c r="F48" i="1"/>
  <c r="G48" i="1"/>
  <c r="H48" i="1"/>
  <c r="D48" i="1"/>
  <c r="E39" i="1"/>
  <c r="F39" i="1"/>
  <c r="G39" i="1"/>
  <c r="D36" i="1"/>
  <c r="E36" i="1"/>
  <c r="F36" i="1"/>
  <c r="G36" i="1"/>
  <c r="H36" i="1"/>
  <c r="E31" i="1"/>
  <c r="F31" i="1"/>
  <c r="G31" i="1"/>
  <c r="H31" i="1"/>
  <c r="D31" i="1"/>
  <c r="E29" i="1"/>
  <c r="F29" i="1"/>
  <c r="G29" i="1"/>
  <c r="H29" i="1"/>
  <c r="I28" i="1" s="1"/>
  <c r="D79" i="10" s="1"/>
  <c r="D29" i="1"/>
  <c r="I22" i="1"/>
  <c r="I23" i="1"/>
  <c r="I26" i="1"/>
  <c r="D77" i="10" s="1"/>
  <c r="D80" i="10" s="1"/>
  <c r="I27" i="1"/>
  <c r="D78" i="10" s="1"/>
  <c r="I32" i="1"/>
  <c r="I33" i="1"/>
  <c r="I37" i="1"/>
  <c r="I38" i="1"/>
  <c r="I40" i="1"/>
  <c r="I41" i="1"/>
  <c r="I42" i="1"/>
  <c r="I43" i="1"/>
  <c r="I53" i="1"/>
  <c r="D96" i="10" s="1"/>
  <c r="I54" i="1"/>
  <c r="D97" i="10" s="1"/>
  <c r="I55" i="1"/>
  <c r="D98" i="10" s="1"/>
  <c r="I56" i="1"/>
  <c r="D99" i="10" s="1"/>
  <c r="I57" i="1"/>
  <c r="I59" i="1"/>
  <c r="I61" i="1"/>
  <c r="I62" i="1"/>
  <c r="I63" i="1"/>
  <c r="I64" i="1"/>
  <c r="I67" i="1"/>
  <c r="I68" i="1"/>
  <c r="D106" i="10" s="1"/>
  <c r="I69" i="1"/>
  <c r="I71" i="1"/>
  <c r="D109" i="10" s="1"/>
  <c r="D111" i="10" s="1"/>
  <c r="I72" i="1"/>
  <c r="I73" i="1"/>
  <c r="D110" i="10" s="1"/>
  <c r="I77" i="1"/>
  <c r="I80" i="1"/>
  <c r="D130" i="10" s="1"/>
  <c r="I81" i="1"/>
  <c r="I82" i="1"/>
  <c r="I83" i="1"/>
  <c r="I84" i="1"/>
  <c r="I86" i="1"/>
  <c r="I87" i="1"/>
  <c r="I88" i="1"/>
  <c r="E25" i="1"/>
  <c r="F25" i="1"/>
  <c r="I24" i="1" s="1"/>
  <c r="G25" i="1"/>
  <c r="H25" i="1"/>
  <c r="D25" i="1"/>
  <c r="D135" i="10" l="1"/>
  <c r="D141" i="10" s="1"/>
  <c r="D76" i="10"/>
  <c r="D81" i="10" s="1"/>
  <c r="G66" i="1"/>
  <c r="I65" i="1" s="1"/>
  <c r="H66" i="1"/>
  <c r="D25" i="2"/>
  <c r="D30" i="2"/>
  <c r="D94" i="10"/>
  <c r="D104" i="10" s="1"/>
  <c r="D107" i="10"/>
  <c r="H30" i="1"/>
  <c r="E46" i="1"/>
  <c r="F50" i="1"/>
  <c r="G91" i="1"/>
  <c r="D63" i="5"/>
  <c r="G60" i="5"/>
  <c r="F30" i="1"/>
  <c r="G46" i="1"/>
  <c r="D46" i="1"/>
  <c r="H50" i="1"/>
  <c r="E30" i="1"/>
  <c r="F46" i="1"/>
  <c r="G50" i="1"/>
  <c r="I51" i="1"/>
  <c r="I60" i="1"/>
  <c r="D91" i="1"/>
  <c r="I47" i="1"/>
  <c r="E50" i="1"/>
  <c r="E75" i="1" s="1"/>
  <c r="I29" i="1"/>
  <c r="H91" i="1"/>
  <c r="I25" i="1"/>
  <c r="D50" i="1"/>
  <c r="F91" i="1"/>
  <c r="I90" i="1" s="1"/>
  <c r="I31" i="1"/>
  <c r="H46" i="1"/>
  <c r="G30" i="1"/>
  <c r="D46" i="2"/>
  <c r="D30" i="1"/>
  <c r="I39" i="1"/>
  <c r="I48" i="1"/>
  <c r="I36" i="1"/>
  <c r="D90" i="10" s="1"/>
  <c r="D93" i="10" l="1"/>
  <c r="D112" i="10" s="1"/>
  <c r="I45" i="1"/>
  <c r="I49" i="1"/>
  <c r="D75" i="1"/>
  <c r="G75" i="1"/>
  <c r="G79" i="1" s="1"/>
  <c r="G92" i="1" s="1"/>
  <c r="D31" i="2"/>
  <c r="D34" i="2" s="1"/>
  <c r="D47" i="2" s="1"/>
  <c r="F75" i="1"/>
  <c r="E79" i="1"/>
  <c r="E92" i="1" s="1"/>
  <c r="D76" i="5"/>
  <c r="G76" i="5" s="1"/>
  <c r="G63" i="5"/>
  <c r="F35" i="1"/>
  <c r="G35" i="1"/>
  <c r="E35" i="1"/>
  <c r="I50" i="1"/>
  <c r="H75" i="1"/>
  <c r="H79" i="1" s="1"/>
  <c r="H92" i="1" s="1"/>
  <c r="I46" i="1"/>
  <c r="I30" i="1"/>
  <c r="D35" i="1"/>
  <c r="F79" i="1" l="1"/>
  <c r="I78" i="1" s="1"/>
  <c r="I74" i="1"/>
  <c r="I34" i="1"/>
  <c r="D82" i="10" s="1"/>
  <c r="I35" i="1"/>
  <c r="F92" i="1"/>
  <c r="D79" i="1"/>
  <c r="I66" i="1"/>
  <c r="D142" i="10" l="1"/>
  <c r="D129" i="10"/>
  <c r="D87" i="10"/>
  <c r="I79" i="1"/>
  <c r="I75" i="1"/>
  <c r="D92" i="1"/>
  <c r="D57" i="10" l="1"/>
  <c r="D61" i="10" s="1"/>
  <c r="D70" i="10" s="1"/>
  <c r="I85" i="1"/>
  <c r="I92" i="1"/>
  <c r="I91" i="1" l="1"/>
  <c r="D144" i="10" l="1"/>
  <c r="D147" i="10" s="1"/>
  <c r="D148" i="10" s="1"/>
  <c r="D149" i="10" s="1"/>
  <c r="D150" i="10" s="1"/>
</calcChain>
</file>

<file path=xl/sharedStrings.xml><?xml version="1.0" encoding="utf-8"?>
<sst xmlns="http://schemas.openxmlformats.org/spreadsheetml/2006/main" count="1216" uniqueCount="433">
  <si>
    <t>Rovat</t>
  </si>
  <si>
    <t>Közvilágítás fenntartása</t>
  </si>
  <si>
    <t>Zöldterület-gazdálkodás</t>
  </si>
  <si>
    <t>Közutak fenntartása</t>
  </si>
  <si>
    <t>Egyéb önkormányzati feladatok</t>
  </si>
  <si>
    <t>Kiegészítés</t>
  </si>
  <si>
    <t>018010</t>
  </si>
  <si>
    <t>Üdülőhelyi feladatok</t>
  </si>
  <si>
    <t>B111</t>
  </si>
  <si>
    <t>B113</t>
  </si>
  <si>
    <t>Kiadások</t>
  </si>
  <si>
    <t>011130</t>
  </si>
  <si>
    <t>Önkormányzatok és önkormányzati hivatalok jogalkotó és általános igazgatási tevékenysége</t>
  </si>
  <si>
    <t>Önkormányzatok elszámolása a központi költségvetéssel</t>
  </si>
  <si>
    <t>Sor-szám</t>
  </si>
  <si>
    <t>Köztemető-fenntartás és -működtetés</t>
  </si>
  <si>
    <t>013320</t>
  </si>
  <si>
    <t>045160</t>
  </si>
  <si>
    <t>Közutak, hidak, alagutak üzemeltetése, fenntartása</t>
  </si>
  <si>
    <t>064010</t>
  </si>
  <si>
    <t>Közvilágítás</t>
  </si>
  <si>
    <t>Zöldterület-kezelés</t>
  </si>
  <si>
    <t>066010</t>
  </si>
  <si>
    <t>066020</t>
  </si>
  <si>
    <t>Város- és község-gazdálkodás</t>
  </si>
  <si>
    <t>Település-üzemeltetéshez kapcsolódó feladatellátás támogatása</t>
  </si>
  <si>
    <t>Törvény szerinti illetmények, munkabérek</t>
  </si>
  <si>
    <t>Béren kívüli juttatások</t>
  </si>
  <si>
    <t>Közlekedési költségtérítés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</si>
  <si>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</si>
  <si>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</si>
  <si>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</si>
  <si>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ebből: szociális hozzájárulási adó</t>
  </si>
  <si>
    <t>ebből: egészségügyi hozzájárulás</t>
  </si>
  <si>
    <t>ebből: munkáltatót terhelő személyi jövedelemadó</t>
  </si>
  <si>
    <t>SZEMÉLYI JELLEGŰ KIADÁSOK ÖSSZESEN</t>
  </si>
  <si>
    <t>Szakmai anyagok beszerzése</t>
  </si>
  <si>
    <t>gyógyszer</t>
  </si>
  <si>
    <t>könyv, folyóirat</t>
  </si>
  <si>
    <t>Üzemeltetési anyagok beszerzése</t>
  </si>
  <si>
    <t>irodaszer</t>
  </si>
  <si>
    <t>üzemanyag</t>
  </si>
  <si>
    <t>munkaruha</t>
  </si>
  <si>
    <t>anyagok, készletek</t>
  </si>
  <si>
    <t>nyomtatást seg.anyag</t>
  </si>
  <si>
    <t>Informatikai szolgáltatások igénybevétele</t>
  </si>
  <si>
    <t xml:space="preserve">internet </t>
  </si>
  <si>
    <t>egyég inform szolg, szoftver bérl</t>
  </si>
  <si>
    <t>Egyéb kommunikációs szolgáltatások</t>
  </si>
  <si>
    <t>telefon</t>
  </si>
  <si>
    <t>Közüzemi díjak</t>
  </si>
  <si>
    <t>áram</t>
  </si>
  <si>
    <t>gáz</t>
  </si>
  <si>
    <t>víz-csatorna</t>
  </si>
  <si>
    <t>Vásárolt élelmezés</t>
  </si>
  <si>
    <t>Karbantartási, kisjavítási szolgáltatások</t>
  </si>
  <si>
    <t xml:space="preserve">Szakmai tevékenységet segítő szolgáltatások 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</si>
  <si>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</si>
  <si>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</si>
  <si>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</si>
  <si>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</si>
  <si>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dologi kiadások</t>
  </si>
  <si>
    <t>ebből: társulások és költségvetési szerveik</t>
  </si>
  <si>
    <t>Tartalékok</t>
  </si>
  <si>
    <t>MŰKÖDÉSI CÉLÚ KIADÁSOK ÖSSZESEN</t>
  </si>
  <si>
    <t>Immateriális javak beszerzése, létesítése</t>
  </si>
  <si>
    <t>Informatikai eszközök beszerzése, létesítése</t>
  </si>
  <si>
    <t>Egyéb tárgyi eszközök beszerzése, létesítése</t>
  </si>
  <si>
    <t>Beruházási célú előzetesen felszámított általános forgalmi adó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</si>
  <si>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</si>
  <si>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</si>
  <si>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</si>
  <si>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</si>
  <si>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FELHALMOZÁSI CÉLÚ KIADÁSOK ÖSSZESEN</t>
  </si>
  <si>
    <t>KIADÁSOK</t>
  </si>
  <si>
    <t>BEVÉTELEK</t>
  </si>
  <si>
    <t>Foglalkoztatottak személyi juttatásai</t>
  </si>
  <si>
    <t>Külső személyi juttatások</t>
  </si>
  <si>
    <t>Személyi juttatások összesen</t>
  </si>
  <si>
    <t xml:space="preserve">Munkaadókat terhelő járulékok és szociális hozzájárulási adó                                               </t>
  </si>
  <si>
    <t>Készletbeszerzés</t>
  </si>
  <si>
    <t>Kommunikációs szolgáltatások</t>
  </si>
  <si>
    <t>Bérleti és lízing díjak</t>
  </si>
  <si>
    <t>Közvetített szolgáltatások</t>
  </si>
  <si>
    <t>Egyéb szolgáltatások</t>
  </si>
  <si>
    <t>Szolgáltatási kiadások</t>
  </si>
  <si>
    <t>Kiküldetések, reklám- és propagandakiadások</t>
  </si>
  <si>
    <t>Kamatkiadások</t>
  </si>
  <si>
    <t>Különféle befizetések és egyéb dologi kiadások</t>
  </si>
  <si>
    <t>Dologi kiadások</t>
  </si>
  <si>
    <t>Egyéb nem intézményi ellátások</t>
  </si>
  <si>
    <t>ebből: köztemetés</t>
  </si>
  <si>
    <t>Ellátottak pénzbeli juttatásai</t>
  </si>
  <si>
    <t>Egyéb működési célú támogatások államháztartáson belülre</t>
  </si>
  <si>
    <t>Egyéb működési célú kiadások</t>
  </si>
  <si>
    <t>Ingatlanok beszerzése, létesítése</t>
  </si>
  <si>
    <t>Beruházások</t>
  </si>
  <si>
    <t>Felújítások</t>
  </si>
  <si>
    <t>ÖSSZESEN</t>
  </si>
  <si>
    <t>K11011</t>
  </si>
  <si>
    <t>K1107</t>
  </si>
  <si>
    <t>K1109</t>
  </si>
  <si>
    <t>K1110</t>
  </si>
  <si>
    <t>K11</t>
  </si>
  <si>
    <t>K121</t>
  </si>
  <si>
    <t>K122</t>
  </si>
  <si>
    <t>K123</t>
  </si>
  <si>
    <t>K12</t>
  </si>
  <si>
    <t>K1</t>
  </si>
  <si>
    <t>K2</t>
  </si>
  <si>
    <t>K21</t>
  </si>
  <si>
    <t>K24</t>
  </si>
  <si>
    <t>K27</t>
  </si>
  <si>
    <t>K1+K2</t>
  </si>
  <si>
    <t>K311</t>
  </si>
  <si>
    <t>K312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</si>
  <si>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</si>
  <si>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</si>
  <si>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</si>
  <si>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</si>
  <si>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</si>
  <si>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</si>
  <si>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</si>
  <si>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</si>
  <si>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</si>
  <si>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</si>
  <si>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</si>
  <si>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</si>
  <si>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</si>
  <si>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</si>
  <si>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</si>
  <si>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</si>
  <si>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</si>
  <si>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</si>
  <si>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K355</t>
  </si>
  <si>
    <t>K35</t>
  </si>
  <si>
    <t>K3</t>
  </si>
  <si>
    <t>K48</t>
  </si>
  <si>
    <t>K4</t>
  </si>
  <si>
    <t>K506</t>
  </si>
  <si>
    <t>K51203</t>
  </si>
  <si>
    <t>K513</t>
  </si>
  <si>
    <t>K5</t>
  </si>
  <si>
    <t>K1-K5</t>
  </si>
  <si>
    <t>K61</t>
  </si>
  <si>
    <t>K62</t>
  </si>
  <si>
    <t>K63</t>
  </si>
  <si>
    <t>K64</t>
  </si>
  <si>
    <t>K67</t>
  </si>
  <si>
    <t>K6</t>
  </si>
  <si>
    <t>K71</t>
  </si>
  <si>
    <t>K72</t>
  </si>
  <si>
    <t>K73</t>
  </si>
  <si>
    <t>K74</t>
  </si>
  <si>
    <t>K7</t>
  </si>
  <si>
    <t>K6+K7</t>
  </si>
  <si>
    <t>ebből: biztosítási díjak</t>
  </si>
  <si>
    <t>postaköltség</t>
  </si>
  <si>
    <t>kéményseprés, szemétszállítás</t>
  </si>
  <si>
    <t>pénzügyi, befektetési díj (bankköltség, jutalék)</t>
  </si>
  <si>
    <t>más egyéb szolgáltatások</t>
  </si>
  <si>
    <t>tisztítószer</t>
  </si>
  <si>
    <t>KIADÁSOK ÖSSZESEN</t>
  </si>
  <si>
    <t>K1-K7</t>
  </si>
  <si>
    <t>Közmunkaprogram</t>
  </si>
  <si>
    <t>041233</t>
  </si>
  <si>
    <t>Hosszabb időtartamű közfoglalkoztatás</t>
  </si>
  <si>
    <t>Személyi juttatásokra</t>
  </si>
  <si>
    <t>Dologi kiadásokra</t>
  </si>
  <si>
    <t>Foglalkoztatottak egyéb személyi juttatásai</t>
  </si>
  <si>
    <t>K1113</t>
  </si>
  <si>
    <t>ebből: táppénz hozzájárulás</t>
  </si>
  <si>
    <t>K25</t>
  </si>
  <si>
    <t>074031</t>
  </si>
  <si>
    <t>Család és nővédelmi egészségügyi gondozás</t>
  </si>
  <si>
    <t>Sportpálya</t>
  </si>
  <si>
    <t>Sport-létesítmények, edzőtáborok működtetése és fejlesztése</t>
  </si>
  <si>
    <t>081030</t>
  </si>
  <si>
    <t>082042</t>
  </si>
  <si>
    <t>Könyvtári állomány gyarapítása, nyilvántartása</t>
  </si>
  <si>
    <t>Könyvtári szolgáltatások</t>
  </si>
  <si>
    <t>082044</t>
  </si>
  <si>
    <t>082092</t>
  </si>
  <si>
    <t>Közművelődés - hagyományos közösségi kulturális értékek gyarapítása</t>
  </si>
  <si>
    <t>Kulturális feladatok</t>
  </si>
  <si>
    <t>Könyvtári, közművelődési és múzeumi feladatok</t>
  </si>
  <si>
    <t>Civil szervezetek működési támogatása</t>
  </si>
  <si>
    <t>Civil szervezetek támogatása</t>
  </si>
  <si>
    <t>Egyéb működési célú támogatások államháztartáson kívülre - civil szervezetek</t>
  </si>
  <si>
    <t>Sportegyesület</t>
  </si>
  <si>
    <t>Dunaszekcsőért Alapítvány</t>
  </si>
  <si>
    <t>084031</t>
  </si>
  <si>
    <t>A települési önkormányzatok szociális feladatainak egyéb támogatása</t>
  </si>
  <si>
    <t>Szociális feladatok egyéb támogatása</t>
  </si>
  <si>
    <t>B1606</t>
  </si>
  <si>
    <t>B11143</t>
  </si>
  <si>
    <t>B1143</t>
  </si>
  <si>
    <t>Szociális étkeztetés</t>
  </si>
  <si>
    <t>Egyéb pénzbeli és természetbeli ellátások, támogatások</t>
  </si>
  <si>
    <t>szállítás (tüzifa)</t>
  </si>
  <si>
    <t>K3-K5</t>
  </si>
  <si>
    <t>Közhatalmi bevételek</t>
  </si>
  <si>
    <t>Önkormányzatok funcióra nem sorolható bevételei államháztartáson kívülről</t>
  </si>
  <si>
    <t>Termőföld bérbeadásbából származó jövedelem utáni szja</t>
  </si>
  <si>
    <t>B31103</t>
  </si>
  <si>
    <t>Építményadó</t>
  </si>
  <si>
    <t>Magánszemélyek kommunális adója</t>
  </si>
  <si>
    <t>Állandó jelleggel végzett iparűzési tevékenység után fizetett helyi adó</t>
  </si>
  <si>
    <t>Belföldi gépjárművek adójának a helyi önkormányzatot megillető része</t>
  </si>
  <si>
    <t>Tartózkodás után fizetett iegenforgalmi adó</t>
  </si>
  <si>
    <t>Talajterhelési díj</t>
  </si>
  <si>
    <t>Egyéb közhatalmi bevételek</t>
  </si>
  <si>
    <t>Szabálysértési pénz- és helyszíni bírság és közig. bírság</t>
  </si>
  <si>
    <t>Egyéb települési adók (jövedéki adó - bérfőzési szeszadó)</t>
  </si>
  <si>
    <t>B341</t>
  </si>
  <si>
    <t>B343</t>
  </si>
  <si>
    <t>B3541</t>
  </si>
  <si>
    <t>B35501</t>
  </si>
  <si>
    <t>B36</t>
  </si>
  <si>
    <t>B3611</t>
  </si>
  <si>
    <t>B3615</t>
  </si>
  <si>
    <t>B3617</t>
  </si>
  <si>
    <t>B36-37</t>
  </si>
  <si>
    <t>B35107</t>
  </si>
  <si>
    <t>Ravatalozó</t>
  </si>
  <si>
    <t>Koncessziós díj és víztermelés-kezelés-ellátás</t>
  </si>
  <si>
    <t>Gyermekvédelmi Erzsébet utalvány bevétel</t>
  </si>
  <si>
    <t>B1604</t>
  </si>
  <si>
    <t>Gyermekvédelmi pénzbeli és természetbeli ellátások</t>
  </si>
  <si>
    <t>Késedelmi és önellenőrzési pótlék</t>
  </si>
  <si>
    <t>Családi támogatások</t>
  </si>
  <si>
    <t>K42</t>
  </si>
  <si>
    <t>egyéb pénzbeli és természetbeni gyermekvédelmi ellátások</t>
  </si>
  <si>
    <t>063020</t>
  </si>
  <si>
    <t>Víztermelés, -kezelés, -ellátás</t>
  </si>
  <si>
    <t>Koncesszióból származó bevétel</t>
  </si>
  <si>
    <t>B4042</t>
  </si>
  <si>
    <t>Kiszámlázott ÁFA</t>
  </si>
  <si>
    <t>B406</t>
  </si>
  <si>
    <t>Egyéb felhalmozási célú átvett pénzeszközök (közműfejlesztési hozzájárulás)</t>
  </si>
  <si>
    <t>B7504</t>
  </si>
  <si>
    <t>Víz- és csatornadíj</t>
  </si>
  <si>
    <t>Használati díjak</t>
  </si>
  <si>
    <t>018030</t>
  </si>
  <si>
    <t>Támogatási célú finanszírozási műveletek</t>
  </si>
  <si>
    <t>B8131</t>
  </si>
  <si>
    <t>Előző év költségvetési maradványának igénybevétele</t>
  </si>
  <si>
    <t>Rovat-szám</t>
  </si>
  <si>
    <t>Helyi önkormányzatok működésének általános támogatása</t>
  </si>
  <si>
    <t>Települési önkormányzatok egyes köznevelési feladatainak támogatása</t>
  </si>
  <si>
    <t>B112</t>
  </si>
  <si>
    <t>Települési önkormányzatok szociális és gyermekjóléti  feladatainak támogatása</t>
  </si>
  <si>
    <t>ebből: gyermekétkeztetés támogatása</t>
  </si>
  <si>
    <t>ebből: egyéb szociális feladatok ellátása, támogatása</t>
  </si>
  <si>
    <t>Települési önkormányzatok kulturális feladatainak támogatása</t>
  </si>
  <si>
    <t>B114</t>
  </si>
  <si>
    <t>B115</t>
  </si>
  <si>
    <t>Helyi önkormányzatok kiegészítő támogatásai</t>
  </si>
  <si>
    <t>B116</t>
  </si>
  <si>
    <t>B11</t>
  </si>
  <si>
    <t>Egyéb működési célú támogatások bevételei</t>
  </si>
  <si>
    <t>B16</t>
  </si>
  <si>
    <t>ebből: munkaügyi központtól kapott tám.</t>
  </si>
  <si>
    <t>B1</t>
  </si>
  <si>
    <t>B311</t>
  </si>
  <si>
    <t>ebből: termőföld bérbeadásából származó jövedelem utáni személyi jövedelemadó</t>
  </si>
  <si>
    <t>B31</t>
  </si>
  <si>
    <t>B34</t>
  </si>
  <si>
    <t xml:space="preserve">ebből: építményadó </t>
  </si>
  <si>
    <t>ebből: magánszemélyek kommunális adója</t>
  </si>
  <si>
    <t>B351</t>
  </si>
  <si>
    <t>ebből: állandó jeleggel végzett iparűzési tevékenység után fizetett helyi iparűzési adó</t>
  </si>
  <si>
    <t>B354</t>
  </si>
  <si>
    <t>ebből: belföldi gépjárművek adójának a helyi önkormányzatot megillető része</t>
  </si>
  <si>
    <t>B355</t>
  </si>
  <si>
    <t>ebből: tartózkodás után fizetett idegenforgalmi adó</t>
  </si>
  <si>
    <t>ebből: talajterhelési díj</t>
  </si>
  <si>
    <t>B35</t>
  </si>
  <si>
    <t>ebből: szabálysértési pénz- és helyszíni bírság</t>
  </si>
  <si>
    <t>ebből: egyéb bírság</t>
  </si>
  <si>
    <t>ebből: pótlék</t>
  </si>
  <si>
    <t>B3</t>
  </si>
  <si>
    <t>B402</t>
  </si>
  <si>
    <t>B403</t>
  </si>
  <si>
    <t>B404</t>
  </si>
  <si>
    <t>ebből: önkormányzati vagyon üzemeltetéséből, koncesszióból származó bevétel</t>
  </si>
  <si>
    <t>Ellátási díjak</t>
  </si>
  <si>
    <t>B405</t>
  </si>
  <si>
    <t>Kiszámlázott általános forgalmi adó</t>
  </si>
  <si>
    <t>B408</t>
  </si>
  <si>
    <t>B411</t>
  </si>
  <si>
    <t>ebből: költségek visszatérítései</t>
  </si>
  <si>
    <t>B4</t>
  </si>
  <si>
    <t>Egyéb működési célú átvett pénzeszközök</t>
  </si>
  <si>
    <t>B65</t>
  </si>
  <si>
    <t>ebből: egyéb vállalkozások</t>
  </si>
  <si>
    <t>Működési célú átvett pénzeszközök</t>
  </si>
  <si>
    <t>B6</t>
  </si>
  <si>
    <t>Egyéb felhalmozási célú átvett pénzeszközök</t>
  </si>
  <si>
    <t>B75</t>
  </si>
  <si>
    <t>ebből: háztartások</t>
  </si>
  <si>
    <t>Felhalmozási célú átvett pénzeszközök</t>
  </si>
  <si>
    <t>B7</t>
  </si>
  <si>
    <t>B1-B7</t>
  </si>
  <si>
    <t>B813</t>
  </si>
  <si>
    <t>Államháztartáson belüli megelőlegezések</t>
  </si>
  <si>
    <t>B814</t>
  </si>
  <si>
    <t>B81</t>
  </si>
  <si>
    <t>B8</t>
  </si>
  <si>
    <t>B1-B8</t>
  </si>
  <si>
    <t>K512</t>
  </si>
  <si>
    <t>ebből: egyéb civil szervezetek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</si>
  <si>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</si>
  <si>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</si>
  <si>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</si>
  <si>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</si>
  <si>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</si>
  <si>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>Közös Hivatal finanszírozás</t>
  </si>
  <si>
    <t>K9151</t>
  </si>
  <si>
    <t>K9152</t>
  </si>
  <si>
    <t>K91</t>
  </si>
  <si>
    <t>K9</t>
  </si>
  <si>
    <t>K1-K9</t>
  </si>
  <si>
    <t>Önkormányzatok működési támogatásai</t>
  </si>
  <si>
    <t>Működési célú támogatások államháztartáson belülről</t>
  </si>
  <si>
    <t>Magánszemélyek jövedelemadói</t>
  </si>
  <si>
    <t>Jövedelemadók</t>
  </si>
  <si>
    <t>Vagyoni tipusú adók</t>
  </si>
  <si>
    <t>Értékesítési és forgalmi adók</t>
  </si>
  <si>
    <t>Gépjárműadók</t>
  </si>
  <si>
    <t>Egyéb áruhasználati és szolgáltatási adók</t>
  </si>
  <si>
    <t>Termékek és szolgáltatások adói</t>
  </si>
  <si>
    <t>Szolgáltatások ellenértéke</t>
  </si>
  <si>
    <t>Tulajdonosi bevételek</t>
  </si>
  <si>
    <t xml:space="preserve">Közvetített szolgáltatások értéke </t>
  </si>
  <si>
    <t>Kamatbevételek</t>
  </si>
  <si>
    <t>Egyéb működési bevételek</t>
  </si>
  <si>
    <t>Működési bevételek</t>
  </si>
  <si>
    <t>Költségvetési bevételek</t>
  </si>
  <si>
    <t>Belföldi finanszírozás bevételei</t>
  </si>
  <si>
    <t>Maradvány igénybevétele</t>
  </si>
  <si>
    <t xml:space="preserve">Munkaadókat terhelő járulékok és szociális hozzájárulási adó                                                              </t>
  </si>
  <si>
    <t>Egyéb működési célú támogatások államháztartáson kívülre</t>
  </si>
  <si>
    <t>Költségvetési kiadások</t>
  </si>
  <si>
    <t>Belföldi finanszírozás kiadásai</t>
  </si>
  <si>
    <t>Finanszírozási kiadások</t>
  </si>
  <si>
    <t>ebből: rászoruló gyermekek szünidei étkeztetése</t>
  </si>
  <si>
    <t>ebből: egyéb települési adók</t>
  </si>
  <si>
    <t>ebből: tárgyi eszközök bérbeadásából származó bevétel</t>
  </si>
  <si>
    <t>Szakmai tevékenységet segítő szolgáltatások</t>
  </si>
  <si>
    <t>Működési célú ÁFA</t>
  </si>
  <si>
    <t>Egyéb működési célú támogatások ÁH-n belülre - társulások és költségvetési szerveik (kistérségi hj.)</t>
  </si>
  <si>
    <t>Egyéb bevételek</t>
  </si>
  <si>
    <t>Földbérleti díj</t>
  </si>
  <si>
    <t>Helypénz</t>
  </si>
  <si>
    <t>Orvosoktól működésre</t>
  </si>
  <si>
    <t>Lakosságtól átvett PE.</t>
  </si>
  <si>
    <t>B6508</t>
  </si>
  <si>
    <t>Orvosoknak tovább-számlázás</t>
  </si>
  <si>
    <t>Ebből felhasználható</t>
  </si>
  <si>
    <t>Bérleti díj bevétel</t>
  </si>
  <si>
    <t xml:space="preserve">Egyéb szolgáltatások </t>
  </si>
  <si>
    <t>Finanszírozási bevételek</t>
  </si>
  <si>
    <t>BEVÉTELEK ÖSSZESEN</t>
  </si>
  <si>
    <t>Nyugdíjas klub</t>
  </si>
  <si>
    <t>Otthonka Egyesület</t>
  </si>
  <si>
    <t>ebből: kp-i fejezeti ei-ból kapott tám. (Gyeremekvéd. Erzs utalvány)</t>
  </si>
  <si>
    <t xml:space="preserve">Tartalékok </t>
  </si>
  <si>
    <t>ebből: hosszabb idejű kintlevőség adóhátralékból</t>
  </si>
  <si>
    <t>Polgármesteri illetmény támogatása</t>
  </si>
  <si>
    <t>egyéb anyagok, készletek</t>
  </si>
  <si>
    <t>Munkavégzésre irányuló egyéb jogviszonyban nem saját foglalkoztatottnak fizetett juttatások (Mb. díj)</t>
  </si>
  <si>
    <t>Előző évi halmozott földbérleti díj</t>
  </si>
  <si>
    <t>Művelődési feladatok</t>
  </si>
  <si>
    <t>Óvoda és Konyha finanszírozás</t>
  </si>
  <si>
    <t>Ünnepélyes esküvő</t>
  </si>
  <si>
    <t>ebből: központi költségvetési szervnek(Bursa)</t>
  </si>
  <si>
    <t>Szakmai tevékenységet segítő szolgáltatások (gazd. üi.)</t>
  </si>
  <si>
    <t>Hivatal felújítás</t>
  </si>
  <si>
    <t>K1+K3</t>
  </si>
  <si>
    <t>Műv. ház igény</t>
  </si>
  <si>
    <t>B21</t>
  </si>
  <si>
    <t>063021</t>
  </si>
  <si>
    <t>Felhalmozási célú önkormányzati támogatások (B21)</t>
  </si>
  <si>
    <t>Felhalmozási célú önkormányzati támogatások</t>
  </si>
  <si>
    <t xml:space="preserve">Felhalmozási célú támogatások államháztartáson belülről </t>
  </si>
  <si>
    <t>B2</t>
  </si>
  <si>
    <t>újszülötteknek járó támogatás</t>
  </si>
  <si>
    <t>rendkívüli tám.</t>
  </si>
  <si>
    <t>Építmény után fizetendő idegenforgalmi adó</t>
  </si>
  <si>
    <t>Német Nemzetiségi Néptánc Egyesület</t>
  </si>
  <si>
    <t>ebből: központi költségvetési szervek</t>
  </si>
  <si>
    <t>Köztemető fenntartás</t>
  </si>
  <si>
    <t xml:space="preserve"> + ÁFA</t>
  </si>
  <si>
    <t>Működési célú költségvetési támogatások és kiegészítő támogatások (bérkomp.)</t>
  </si>
  <si>
    <t>B653</t>
  </si>
  <si>
    <t>Konyha bérleti díj</t>
  </si>
  <si>
    <t>Volt óvoda bérleti díj</t>
  </si>
  <si>
    <t>Egyéb dologi kiadások (HIPA visszautalás+műszaki díj)</t>
  </si>
  <si>
    <t>Csele-Borza Völgye Egyesület tagdíj</t>
  </si>
  <si>
    <t>Nefela egyesület tagdíj</t>
  </si>
  <si>
    <t>Községek és kistelepülések Országos Önk. Szöv. Tagdíj</t>
  </si>
  <si>
    <t>102031</t>
  </si>
  <si>
    <t>Idősek nappali ellátása</t>
  </si>
  <si>
    <t>ebből: települési támogatás:</t>
  </si>
  <si>
    <t>ebből: kerekítési különbözet</t>
  </si>
  <si>
    <t>Köztemetés visszafizetés</t>
  </si>
  <si>
    <t>ebből: pénzeszköz maradvány</t>
  </si>
  <si>
    <t>Dunaszekcső Községi Önkormányzat 2019. évi költségvetése ÖSSZESEN</t>
  </si>
  <si>
    <t>Előző évi maradványból</t>
  </si>
  <si>
    <t>Kinizsi u.</t>
  </si>
  <si>
    <t>Török u.</t>
  </si>
  <si>
    <t>Követelés + értékvesztés</t>
  </si>
  <si>
    <t>Dunaszekcső Községi Önkormányzat 2019. évi költségvetése - cofogosan, rovatosan</t>
  </si>
  <si>
    <t>Téli rezsicsökkentés</t>
  </si>
  <si>
    <t>Működési célú általános forgalmi adó</t>
  </si>
  <si>
    <t>lakásfenntartási támogatás</t>
  </si>
  <si>
    <r>
      <t>ebből: egyéb, az önkormányzat rendeletében megállapított juttatás-</t>
    </r>
    <r>
      <rPr>
        <b/>
        <i/>
        <sz val="11"/>
        <rFont val="Arial"/>
        <family val="2"/>
        <charset val="238"/>
      </rPr>
      <t>első lakáshoz jut. tám.</t>
    </r>
  </si>
  <si>
    <t>Nyugdíjas Klub</t>
  </si>
  <si>
    <t>Műv. Ház</t>
  </si>
  <si>
    <t>anyagok, készletek, élelmiszer</t>
  </si>
  <si>
    <t>Felhalmozási célú egyéb támogatások</t>
  </si>
  <si>
    <t>B25</t>
  </si>
  <si>
    <t>K5021</t>
  </si>
  <si>
    <t>K502</t>
  </si>
  <si>
    <t>Elvonások és befizetések</t>
  </si>
  <si>
    <t>Helyi önkormányzatok előző évi elszámolása</t>
  </si>
  <si>
    <r>
      <t xml:space="preserve">ebből: önkormányzat által saját hatáskörben (nem szociális és gyermekvédelmi előírások alapján) adott más ellátás kiadásai - </t>
    </r>
    <r>
      <rPr>
        <b/>
        <sz val="10"/>
        <rFont val="Arial"/>
        <family val="2"/>
        <charset val="238"/>
      </rPr>
      <t>tüzifa támogatás</t>
    </r>
  </si>
  <si>
    <t>népviseletek</t>
  </si>
  <si>
    <t>Fúvósegyesület + bérleti díj visszatérítése</t>
  </si>
  <si>
    <t>ebből: háztartások (védett ingatlanok)</t>
  </si>
  <si>
    <t>ebből: pénzeszköz tartalék</t>
  </si>
  <si>
    <t>ebből: egyéb maradvány (átfutó)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</si>
</sst>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_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4"/>
      <color rgb="FFC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2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i/>
      <sz val="12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8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0" xfId="0" applyFont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/>
    </xf>
    <xf numFmtId="0" fontId="8" fillId="0" borderId="1" xfId="0" applyFont="1" applyBorder="1"/>
    <xf numFmtId="49" fontId="8" fillId="0" borderId="1" xfId="0" applyNumberFormat="1" applyFont="1" applyBorder="1"/>
    <xf numFmtId="3" fontId="8" fillId="0" borderId="1" xfId="0" applyNumberFormat="1" applyFont="1" applyBorder="1"/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right"/>
    </xf>
    <xf numFmtId="0" fontId="15" fillId="3" borderId="1" xfId="0" applyFont="1" applyFill="1" applyBorder="1"/>
    <xf numFmtId="49" fontId="15" fillId="3" borderId="1" xfId="0" applyNumberFormat="1" applyFont="1" applyFill="1" applyBorder="1"/>
    <xf numFmtId="3" fontId="15" fillId="3" borderId="1" xfId="0" applyNumberFormat="1" applyFont="1" applyFill="1" applyBorder="1"/>
    <xf numFmtId="0" fontId="15" fillId="3" borderId="1" xfId="0" applyFont="1" applyFill="1" applyBorder="1" applyAlignment="1">
      <alignment vertical="center" wrapText="1"/>
    </xf>
    <xf numFmtId="3" fontId="15" fillId="3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4" fillId="4" borderId="1" xfId="0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vertical="center" wrapText="1"/>
    </xf>
    <xf numFmtId="3" fontId="15" fillId="3" borderId="4" xfId="0" applyNumberFormat="1" applyFont="1" applyFill="1" applyBorder="1" applyAlignment="1">
      <alignment horizontal="right" vertical="center" wrapText="1"/>
    </xf>
    <xf numFmtId="0" fontId="18" fillId="4" borderId="3" xfId="0" applyFont="1" applyFill="1" applyBorder="1"/>
    <xf numFmtId="3" fontId="18" fillId="4" borderId="3" xfId="0" applyNumberFormat="1" applyFont="1" applyFill="1" applyBorder="1"/>
    <xf numFmtId="49" fontId="14" fillId="0" borderId="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wrapText="1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8" fillId="4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5" fillId="3" borderId="1" xfId="0" applyFont="1" applyFill="1" applyBorder="1" applyAlignment="1">
      <alignment vertical="center"/>
    </xf>
    <xf numFmtId="0" fontId="9" fillId="0" borderId="0" xfId="0" applyFont="1"/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3" fontId="2" fillId="4" borderId="1" xfId="0" applyNumberFormat="1" applyFont="1" applyFill="1" applyBorder="1" applyAlignment="1">
      <alignment horizontal="right" vertical="center" wrapText="1"/>
    </xf>
    <xf numFmtId="0" fontId="19" fillId="0" borderId="0" xfId="0" applyFont="1"/>
    <xf numFmtId="0" fontId="14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horizontal="right" vertical="center" wrapText="1"/>
    </xf>
    <xf numFmtId="0" fontId="3" fillId="0" borderId="1" xfId="1" applyFont="1" applyBorder="1" applyAlignment="1">
      <alignment horizontal="right" vertical="center" wrapText="1"/>
    </xf>
    <xf numFmtId="0" fontId="2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horizontal="righ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/>
    </xf>
    <xf numFmtId="3" fontId="18" fillId="4" borderId="3" xfId="0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right" vertical="center" wrapText="1"/>
    </xf>
    <xf numFmtId="0" fontId="21" fillId="5" borderId="1" xfId="0" applyFont="1" applyFill="1" applyBorder="1" applyAlignment="1">
      <alignment horizontal="left" vertical="center" wrapText="1"/>
    </xf>
    <xf numFmtId="3" fontId="21" fillId="5" borderId="1" xfId="0" applyNumberFormat="1" applyFont="1" applyFill="1" applyBorder="1"/>
    <xf numFmtId="3" fontId="21" fillId="5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3" fontId="11" fillId="0" borderId="1" xfId="0" applyNumberFormat="1" applyFont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8" fillId="6" borderId="1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3" fontId="0" fillId="0" borderId="0" xfId="0" applyNumberFormat="1"/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3" fontId="11" fillId="0" borderId="0" xfId="0" applyNumberFormat="1" applyFont="1"/>
    <xf numFmtId="0" fontId="22" fillId="6" borderId="0" xfId="0" applyFont="1" applyFill="1"/>
    <xf numFmtId="3" fontId="22" fillId="6" borderId="0" xfId="0" applyNumberFormat="1" applyFont="1" applyFill="1"/>
    <xf numFmtId="49" fontId="11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3" fontId="4" fillId="4" borderId="7" xfId="0" applyNumberFormat="1" applyFont="1" applyFill="1" applyBorder="1" applyAlignment="1">
      <alignment horizontal="right" vertical="center" wrapText="1"/>
    </xf>
    <xf numFmtId="3" fontId="15" fillId="3" borderId="7" xfId="0" applyNumberFormat="1" applyFont="1" applyFill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/>
    </xf>
    <xf numFmtId="3" fontId="8" fillId="4" borderId="7" xfId="0" applyNumberFormat="1" applyFont="1" applyFill="1" applyBorder="1" applyAlignment="1">
      <alignment horizontal="right" vertical="center"/>
    </xf>
    <xf numFmtId="3" fontId="15" fillId="3" borderId="8" xfId="0" applyNumberFormat="1" applyFont="1" applyFill="1" applyBorder="1" applyAlignment="1">
      <alignment horizontal="right" vertical="center" wrapText="1"/>
    </xf>
    <xf numFmtId="3" fontId="18" fillId="4" borderId="9" xfId="0" applyNumberFormat="1" applyFont="1" applyFill="1" applyBorder="1"/>
    <xf numFmtId="3" fontId="13" fillId="0" borderId="11" xfId="0" applyNumberFormat="1" applyFont="1" applyBorder="1" applyAlignment="1">
      <alignment horizontal="right" vertical="center"/>
    </xf>
    <xf numFmtId="3" fontId="4" fillId="4" borderId="11" xfId="0" applyNumberFormat="1" applyFont="1" applyFill="1" applyBorder="1" applyAlignment="1">
      <alignment horizontal="right" vertical="center" wrapText="1"/>
    </xf>
    <xf numFmtId="3" fontId="15" fillId="3" borderId="11" xfId="0" applyNumberFormat="1" applyFont="1" applyFill="1" applyBorder="1" applyAlignment="1">
      <alignment horizontal="right" vertical="center" wrapText="1"/>
    </xf>
    <xf numFmtId="3" fontId="17" fillId="0" borderId="11" xfId="0" applyNumberFormat="1" applyFont="1" applyBorder="1" applyAlignment="1">
      <alignment horizontal="right" vertical="center"/>
    </xf>
    <xf numFmtId="3" fontId="13" fillId="4" borderId="11" xfId="0" applyNumberFormat="1" applyFont="1" applyFill="1" applyBorder="1" applyAlignment="1">
      <alignment horizontal="right" vertical="center"/>
    </xf>
    <xf numFmtId="3" fontId="15" fillId="3" borderId="12" xfId="0" applyNumberFormat="1" applyFont="1" applyFill="1" applyBorder="1" applyAlignment="1">
      <alignment horizontal="right" vertical="center" wrapText="1"/>
    </xf>
    <xf numFmtId="3" fontId="18" fillId="4" borderId="6" xfId="0" applyNumberFormat="1" applyFont="1" applyFill="1" applyBorder="1"/>
    <xf numFmtId="0" fontId="11" fillId="0" borderId="7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 wrapText="1"/>
    </xf>
    <xf numFmtId="3" fontId="11" fillId="4" borderId="7" xfId="0" applyNumberFormat="1" applyFont="1" applyFill="1" applyBorder="1" applyAlignment="1">
      <alignment horizontal="right" vertical="center"/>
    </xf>
    <xf numFmtId="3" fontId="0" fillId="0" borderId="7" xfId="0" applyNumberFormat="1" applyBorder="1"/>
    <xf numFmtId="49" fontId="14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right" vertical="center"/>
    </xf>
    <xf numFmtId="3" fontId="11" fillId="4" borderId="11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/>
    </xf>
    <xf numFmtId="3" fontId="8" fillId="4" borderId="1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3" fontId="23" fillId="6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3" fontId="23" fillId="6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3" fontId="2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5" fillId="0" borderId="0" xfId="0" applyFont="1"/>
    <xf numFmtId="49" fontId="15" fillId="0" borderId="0" xfId="0" applyNumberFormat="1" applyFont="1"/>
    <xf numFmtId="3" fontId="15" fillId="0" borderId="0" xfId="0" applyNumberFormat="1" applyFont="1"/>
    <xf numFmtId="0" fontId="11" fillId="0" borderId="0" xfId="0" applyFont="1" applyAlignment="1">
      <alignment horizontal="center" vertical="center" wrapText="1"/>
    </xf>
    <xf numFmtId="3" fontId="19" fillId="0" borderId="0" xfId="0" applyNumberFormat="1" applyFont="1"/>
    <xf numFmtId="3" fontId="26" fillId="6" borderId="7" xfId="0" applyNumberFormat="1" applyFont="1" applyFill="1" applyBorder="1" applyAlignment="1">
      <alignment horizontal="right" vertical="center"/>
    </xf>
    <xf numFmtId="0" fontId="10" fillId="0" borderId="0" xfId="0" applyFont="1"/>
    <xf numFmtId="0" fontId="27" fillId="0" borderId="1" xfId="0" applyFont="1" applyBorder="1" applyAlignment="1">
      <alignment vertical="center" wrapText="1"/>
    </xf>
    <xf numFmtId="3" fontId="27" fillId="0" borderId="1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3" fontId="29" fillId="0" borderId="1" xfId="0" applyNumberFormat="1" applyFont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right" vertical="center"/>
    </xf>
    <xf numFmtId="0" fontId="30" fillId="0" borderId="1" xfId="0" applyFont="1" applyBorder="1" applyAlignment="1">
      <alignment horizontal="left" vertical="center" wrapText="1"/>
    </xf>
    <xf numFmtId="3" fontId="32" fillId="0" borderId="1" xfId="0" applyNumberFormat="1" applyFont="1" applyBorder="1" applyAlignment="1">
      <alignment horizontal="right" vertical="center"/>
    </xf>
    <xf numFmtId="3" fontId="32" fillId="0" borderId="7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2">
    <cellStyle name="Normál" xfId="0" builtinId="0"/>
    <cellStyle name="Normál_0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2"/>
  <sheetViews>
    <sheetView tabSelected="1" zoomScale="120" zoomScaleNormal="120" workbookViewId="0">
      <selection activeCell="B128" sqref="B128"/>
    </sheetView>
  </sheetViews>
  <sheetFormatPr defaultRowHeight="15" x14ac:dyDescent="0.25"/>
  <cols>
    <col min="1" max="1" width="7.140625" customWidth="1"/>
    <col min="2" max="2" width="79" customWidth="1"/>
    <col min="3" max="3" width="9.7109375" customWidth="1"/>
    <col min="4" max="4" width="20.28515625" customWidth="1"/>
    <col min="5" max="5" width="13.140625" bestFit="1" customWidth="1"/>
  </cols>
  <sheetData>
    <row r="2" spans="1:11" ht="20.25" x14ac:dyDescent="0.3">
      <c r="A2" s="178" t="s">
        <v>408</v>
      </c>
      <c r="B2" s="178"/>
      <c r="C2" s="178"/>
      <c r="D2" s="178"/>
      <c r="E2" s="67"/>
      <c r="F2" s="67"/>
      <c r="G2" s="67"/>
      <c r="H2" s="67"/>
      <c r="I2" s="67"/>
      <c r="J2" s="67"/>
      <c r="K2" s="67"/>
    </row>
    <row r="4" spans="1:11" ht="31.5" x14ac:dyDescent="0.25">
      <c r="A4" s="72" t="s">
        <v>14</v>
      </c>
      <c r="B4" s="73" t="s">
        <v>75</v>
      </c>
      <c r="C4" s="72" t="s">
        <v>247</v>
      </c>
      <c r="D4" s="72" t="s">
        <v>98</v>
      </c>
    </row>
    <row r="5" spans="1:11" x14ac:dyDescent="0.25">
      <c r="A5" s="86">
        <v>1</v>
      </c>
      <c r="B5" s="74" t="s">
        <v>248</v>
      </c>
      <c r="C5" s="75" t="s">
        <v>8</v>
      </c>
      <c r="D5" s="30">
        <v>61786026</v>
      </c>
    </row>
    <row r="6" spans="1:11" x14ac:dyDescent="0.25">
      <c r="A6" s="86">
        <v>2</v>
      </c>
      <c r="B6" s="74" t="s">
        <v>249</v>
      </c>
      <c r="C6" s="75" t="s">
        <v>250</v>
      </c>
      <c r="D6" s="30">
        <f>24702500+8953700+563000+396700</f>
        <v>34615900</v>
      </c>
    </row>
    <row r="7" spans="1:11" x14ac:dyDescent="0.25">
      <c r="A7" s="86">
        <v>3</v>
      </c>
      <c r="B7" s="74" t="s">
        <v>251</v>
      </c>
      <c r="C7" s="75" t="s">
        <v>9</v>
      </c>
      <c r="D7" s="30">
        <f>SUM(D8:D10)</f>
        <v>36515722</v>
      </c>
    </row>
    <row r="8" spans="1:11" x14ac:dyDescent="0.25">
      <c r="A8" s="87">
        <v>4</v>
      </c>
      <c r="B8" s="76" t="s">
        <v>252</v>
      </c>
      <c r="C8" s="77"/>
      <c r="D8" s="39">
        <f>8740000+9990155</f>
        <v>18730155</v>
      </c>
    </row>
    <row r="9" spans="1:11" x14ac:dyDescent="0.25">
      <c r="A9" s="87">
        <v>5</v>
      </c>
      <c r="B9" s="76" t="s">
        <v>346</v>
      </c>
      <c r="C9" s="77"/>
      <c r="D9" s="39">
        <v>1067610</v>
      </c>
    </row>
    <row r="10" spans="1:11" x14ac:dyDescent="0.25">
      <c r="A10" s="87">
        <v>6</v>
      </c>
      <c r="B10" s="76" t="s">
        <v>253</v>
      </c>
      <c r="C10" s="77"/>
      <c r="D10" s="39">
        <v>16717957</v>
      </c>
    </row>
    <row r="11" spans="1:11" x14ac:dyDescent="0.25">
      <c r="A11" s="86">
        <v>7</v>
      </c>
      <c r="B11" s="74" t="s">
        <v>254</v>
      </c>
      <c r="C11" s="75" t="s">
        <v>255</v>
      </c>
      <c r="D11" s="30">
        <v>2326830</v>
      </c>
    </row>
    <row r="12" spans="1:11" x14ac:dyDescent="0.25">
      <c r="A12" s="86">
        <v>8</v>
      </c>
      <c r="B12" s="74" t="s">
        <v>394</v>
      </c>
      <c r="C12" s="75" t="s">
        <v>256</v>
      </c>
      <c r="D12" s="30">
        <f>351096+6496000</f>
        <v>6847096</v>
      </c>
    </row>
    <row r="13" spans="1:11" x14ac:dyDescent="0.25">
      <c r="A13" s="86">
        <v>9</v>
      </c>
      <c r="B13" s="74" t="s">
        <v>257</v>
      </c>
      <c r="C13" s="75" t="s">
        <v>258</v>
      </c>
      <c r="D13" s="30">
        <v>0</v>
      </c>
    </row>
    <row r="14" spans="1:11" x14ac:dyDescent="0.25">
      <c r="A14" s="88">
        <v>10</v>
      </c>
      <c r="B14" s="78" t="s">
        <v>323</v>
      </c>
      <c r="C14" s="79" t="s">
        <v>259</v>
      </c>
      <c r="D14" s="100">
        <f>SUM(D5:D7)+D11+D12+D13</f>
        <v>142091574</v>
      </c>
    </row>
    <row r="15" spans="1:11" x14ac:dyDescent="0.25">
      <c r="A15" s="88">
        <v>11</v>
      </c>
      <c r="B15" s="78" t="s">
        <v>260</v>
      </c>
      <c r="C15" s="79" t="s">
        <v>261</v>
      </c>
      <c r="D15" s="100">
        <f>SUM(D16:D17)</f>
        <v>3928273</v>
      </c>
    </row>
    <row r="16" spans="1:11" x14ac:dyDescent="0.25">
      <c r="A16" s="87">
        <v>12</v>
      </c>
      <c r="B16" s="76" t="s">
        <v>262</v>
      </c>
      <c r="C16" s="77" t="s">
        <v>194</v>
      </c>
      <c r="D16" s="39">
        <f>Közmunkaprogram!D8</f>
        <v>2986773</v>
      </c>
    </row>
    <row r="17" spans="1:4" x14ac:dyDescent="0.25">
      <c r="A17" s="87">
        <v>13</v>
      </c>
      <c r="B17" s="76" t="s">
        <v>366</v>
      </c>
      <c r="C17" s="77" t="s">
        <v>227</v>
      </c>
      <c r="D17" s="30">
        <f>+'Szociális feladatok'!I7</f>
        <v>941500</v>
      </c>
    </row>
    <row r="18" spans="1:4" ht="15.75" x14ac:dyDescent="0.25">
      <c r="A18" s="41">
        <v>15</v>
      </c>
      <c r="B18" s="27" t="s">
        <v>324</v>
      </c>
      <c r="C18" s="27" t="s">
        <v>263</v>
      </c>
      <c r="D18" s="31">
        <f>D14+D15</f>
        <v>146019847</v>
      </c>
    </row>
    <row r="19" spans="1:4" ht="15.75" x14ac:dyDescent="0.25">
      <c r="A19" s="158">
        <v>16</v>
      </c>
      <c r="B19" s="156" t="s">
        <v>384</v>
      </c>
      <c r="C19" s="156" t="s">
        <v>381</v>
      </c>
      <c r="D19" s="157">
        <f>'Vis maior - Kinizsi u.'!D6+'Vis maior - Török u.'!D6</f>
        <v>11893000</v>
      </c>
    </row>
    <row r="20" spans="1:4" ht="15.75" x14ac:dyDescent="0.25">
      <c r="A20" s="158"/>
      <c r="B20" s="156" t="s">
        <v>421</v>
      </c>
      <c r="C20" s="156" t="s">
        <v>422</v>
      </c>
      <c r="D20" s="157">
        <f>+'Hivatal felújítás pályázat'!D6</f>
        <v>24891378</v>
      </c>
    </row>
    <row r="21" spans="1:4" ht="15.75" x14ac:dyDescent="0.25">
      <c r="A21" s="41">
        <v>17</v>
      </c>
      <c r="B21" s="27" t="s">
        <v>385</v>
      </c>
      <c r="C21" s="27" t="s">
        <v>386</v>
      </c>
      <c r="D21" s="31">
        <f>SUM(D19:D20)</f>
        <v>36784378</v>
      </c>
    </row>
    <row r="22" spans="1:4" x14ac:dyDescent="0.25">
      <c r="A22" s="86">
        <v>18</v>
      </c>
      <c r="B22" s="74" t="s">
        <v>325</v>
      </c>
      <c r="C22" s="75" t="s">
        <v>264</v>
      </c>
      <c r="D22" s="30">
        <f>D23</f>
        <v>7472</v>
      </c>
    </row>
    <row r="23" spans="1:4" ht="28.5" x14ac:dyDescent="0.25">
      <c r="A23" s="87">
        <v>19</v>
      </c>
      <c r="B23" s="76" t="s">
        <v>265</v>
      </c>
      <c r="C23" s="77" t="s">
        <v>204</v>
      </c>
      <c r="D23" s="30">
        <f>'Közhatalmi bevételek'!D6</f>
        <v>7472</v>
      </c>
    </row>
    <row r="24" spans="1:4" x14ac:dyDescent="0.25">
      <c r="A24" s="88">
        <v>20</v>
      </c>
      <c r="B24" s="78" t="s">
        <v>326</v>
      </c>
      <c r="C24" s="79" t="s">
        <v>266</v>
      </c>
      <c r="D24" s="100">
        <f>D22</f>
        <v>7472</v>
      </c>
    </row>
    <row r="25" spans="1:4" x14ac:dyDescent="0.25">
      <c r="A25" s="88">
        <v>21</v>
      </c>
      <c r="B25" s="78" t="s">
        <v>327</v>
      </c>
      <c r="C25" s="79" t="s">
        <v>267</v>
      </c>
      <c r="D25" s="100">
        <f>SUM(D26:D27)</f>
        <v>6624120</v>
      </c>
    </row>
    <row r="26" spans="1:4" x14ac:dyDescent="0.25">
      <c r="A26" s="87">
        <v>22</v>
      </c>
      <c r="B26" s="76" t="s">
        <v>268</v>
      </c>
      <c r="C26" s="76" t="s">
        <v>214</v>
      </c>
      <c r="D26" s="39">
        <f>'Közhatalmi bevételek'!D7</f>
        <v>3064536</v>
      </c>
    </row>
    <row r="27" spans="1:4" x14ac:dyDescent="0.25">
      <c r="A27" s="87">
        <v>23</v>
      </c>
      <c r="B27" s="76" t="s">
        <v>269</v>
      </c>
      <c r="C27" s="76" t="s">
        <v>215</v>
      </c>
      <c r="D27" s="39">
        <f>'Közhatalmi bevételek'!D8</f>
        <v>3559584</v>
      </c>
    </row>
    <row r="28" spans="1:4" x14ac:dyDescent="0.25">
      <c r="A28" s="86">
        <v>24</v>
      </c>
      <c r="B28" s="74" t="s">
        <v>328</v>
      </c>
      <c r="C28" s="75" t="s">
        <v>270</v>
      </c>
      <c r="D28" s="30">
        <f>SUM(D29)</f>
        <v>31923565</v>
      </c>
    </row>
    <row r="29" spans="1:4" ht="28.5" x14ac:dyDescent="0.25">
      <c r="A29" s="87">
        <v>25</v>
      </c>
      <c r="B29" s="76" t="s">
        <v>271</v>
      </c>
      <c r="C29" s="76" t="s">
        <v>223</v>
      </c>
      <c r="D29" s="30">
        <f>'Közhatalmi bevételek'!D10</f>
        <v>31923565</v>
      </c>
    </row>
    <row r="30" spans="1:4" x14ac:dyDescent="0.25">
      <c r="A30" s="86">
        <v>26</v>
      </c>
      <c r="B30" s="74" t="s">
        <v>329</v>
      </c>
      <c r="C30" s="75" t="s">
        <v>272</v>
      </c>
      <c r="D30" s="30">
        <f>SUM(D31)</f>
        <v>4272646</v>
      </c>
    </row>
    <row r="31" spans="1:4" x14ac:dyDescent="0.25">
      <c r="A31" s="87">
        <v>27</v>
      </c>
      <c r="B31" s="76" t="s">
        <v>273</v>
      </c>
      <c r="C31" s="76" t="s">
        <v>216</v>
      </c>
      <c r="D31" s="39">
        <f>'Közhatalmi bevételek'!D11</f>
        <v>4272646</v>
      </c>
    </row>
    <row r="32" spans="1:4" x14ac:dyDescent="0.25">
      <c r="A32" s="86">
        <v>28</v>
      </c>
      <c r="B32" s="74" t="s">
        <v>330</v>
      </c>
      <c r="C32" s="75" t="s">
        <v>274</v>
      </c>
      <c r="D32" s="30">
        <f>D33</f>
        <v>250400</v>
      </c>
    </row>
    <row r="33" spans="1:4" x14ac:dyDescent="0.25">
      <c r="A33" s="87">
        <v>29</v>
      </c>
      <c r="B33" s="76" t="s">
        <v>275</v>
      </c>
      <c r="C33" s="76" t="s">
        <v>217</v>
      </c>
      <c r="D33" s="39">
        <f>'Közhatalmi bevételek'!D12</f>
        <v>250400</v>
      </c>
    </row>
    <row r="34" spans="1:4" x14ac:dyDescent="0.25">
      <c r="A34" s="88">
        <v>30</v>
      </c>
      <c r="B34" s="78" t="s">
        <v>331</v>
      </c>
      <c r="C34" s="79" t="s">
        <v>277</v>
      </c>
      <c r="D34" s="100">
        <f>D28+D30+D32</f>
        <v>36446611</v>
      </c>
    </row>
    <row r="35" spans="1:4" x14ac:dyDescent="0.25">
      <c r="A35" s="88">
        <v>31</v>
      </c>
      <c r="B35" s="78" t="s">
        <v>211</v>
      </c>
      <c r="C35" s="79" t="s">
        <v>218</v>
      </c>
      <c r="D35" s="100">
        <f>SUM(D36:D40)</f>
        <v>840967</v>
      </c>
    </row>
    <row r="36" spans="1:4" x14ac:dyDescent="0.25">
      <c r="A36" s="87">
        <v>32</v>
      </c>
      <c r="B36" s="76" t="s">
        <v>278</v>
      </c>
      <c r="C36" s="76"/>
      <c r="D36" s="39">
        <f>'Közhatalmi bevételek'!D14</f>
        <v>0</v>
      </c>
    </row>
    <row r="37" spans="1:4" x14ac:dyDescent="0.25">
      <c r="A37" s="87">
        <v>33</v>
      </c>
      <c r="B37" s="76" t="s">
        <v>347</v>
      </c>
      <c r="C37" s="76"/>
      <c r="D37" s="39">
        <f>'Közhatalmi bevételek'!D9</f>
        <v>0</v>
      </c>
    </row>
    <row r="38" spans="1:4" x14ac:dyDescent="0.25">
      <c r="A38" s="87">
        <v>34</v>
      </c>
      <c r="B38" s="76" t="s">
        <v>279</v>
      </c>
      <c r="C38" s="76"/>
      <c r="D38" s="39">
        <f>'Közhatalmi bevételek'!D13</f>
        <v>0</v>
      </c>
    </row>
    <row r="39" spans="1:4" x14ac:dyDescent="0.25">
      <c r="A39" s="87">
        <v>35</v>
      </c>
      <c r="B39" s="76" t="s">
        <v>276</v>
      </c>
      <c r="C39" s="76"/>
      <c r="D39" s="39">
        <f>'Közhatalmi bevételek'!D16</f>
        <v>232672</v>
      </c>
    </row>
    <row r="40" spans="1:4" x14ac:dyDescent="0.25">
      <c r="A40" s="87">
        <v>36</v>
      </c>
      <c r="B40" s="76" t="s">
        <v>280</v>
      </c>
      <c r="C40" s="76"/>
      <c r="D40" s="39">
        <f>'Közhatalmi bevételek'!D17</f>
        <v>608295</v>
      </c>
    </row>
    <row r="41" spans="1:4" ht="15.75" x14ac:dyDescent="0.25">
      <c r="A41" s="41">
        <v>37</v>
      </c>
      <c r="B41" s="27" t="s">
        <v>201</v>
      </c>
      <c r="C41" s="27" t="s">
        <v>281</v>
      </c>
      <c r="D41" s="31">
        <f>D24+D25+D34+D35</f>
        <v>43919170</v>
      </c>
    </row>
    <row r="42" spans="1:4" x14ac:dyDescent="0.25">
      <c r="A42" s="89">
        <v>38</v>
      </c>
      <c r="B42" s="80" t="s">
        <v>332</v>
      </c>
      <c r="C42" s="75" t="s">
        <v>282</v>
      </c>
      <c r="D42" s="100">
        <f>D43</f>
        <v>2316525</v>
      </c>
    </row>
    <row r="43" spans="1:4" x14ac:dyDescent="0.25">
      <c r="A43" s="90">
        <v>39</v>
      </c>
      <c r="B43" s="81" t="s">
        <v>348</v>
      </c>
      <c r="C43" s="76"/>
      <c r="D43" s="39">
        <f>+'Település-üzemeltetés'!H6+'Település-üzemeltetés'!H7+'Település-üzemeltetés'!H8+'Település-üzemeltetés'!H14+'Település-üzemeltetés'!H15+'Művelődési feladatok'!D7+Ravatalozó!D6</f>
        <v>2316525</v>
      </c>
    </row>
    <row r="44" spans="1:4" x14ac:dyDescent="0.25">
      <c r="A44" s="89">
        <v>40</v>
      </c>
      <c r="B44" s="80" t="s">
        <v>334</v>
      </c>
      <c r="C44" s="75" t="s">
        <v>283</v>
      </c>
      <c r="D44" s="100">
        <f>'Település-üzemeltetés'!H10</f>
        <v>600000</v>
      </c>
    </row>
    <row r="45" spans="1:4" x14ac:dyDescent="0.25">
      <c r="A45" s="89">
        <v>41</v>
      </c>
      <c r="B45" s="80" t="s">
        <v>333</v>
      </c>
      <c r="C45" s="75" t="s">
        <v>284</v>
      </c>
      <c r="D45" s="100">
        <f>SUM(D46)</f>
        <v>4269786</v>
      </c>
    </row>
    <row r="46" spans="1:4" x14ac:dyDescent="0.25">
      <c r="A46" s="91">
        <v>42</v>
      </c>
      <c r="B46" s="82" t="s">
        <v>285</v>
      </c>
      <c r="C46" s="76" t="s">
        <v>236</v>
      </c>
      <c r="D46" s="30">
        <f>'Koncessziós díj és vízterm.'!D6</f>
        <v>4269786</v>
      </c>
    </row>
    <row r="47" spans="1:4" x14ac:dyDescent="0.25">
      <c r="A47" s="89">
        <v>43</v>
      </c>
      <c r="B47" s="80" t="s">
        <v>286</v>
      </c>
      <c r="C47" s="75" t="s">
        <v>287</v>
      </c>
      <c r="D47" s="30">
        <v>0</v>
      </c>
    </row>
    <row r="48" spans="1:4" x14ac:dyDescent="0.25">
      <c r="A48" s="89">
        <v>44</v>
      </c>
      <c r="B48" s="80" t="s">
        <v>288</v>
      </c>
      <c r="C48" s="75" t="s">
        <v>238</v>
      </c>
      <c r="D48" s="30">
        <f>'Koncessziós díj és vízterm.'!D7+Ravatalozó!D7</f>
        <v>1154436.57</v>
      </c>
    </row>
    <row r="49" spans="1:5" x14ac:dyDescent="0.25">
      <c r="A49" s="89">
        <v>45</v>
      </c>
      <c r="B49" s="80" t="s">
        <v>335</v>
      </c>
      <c r="C49" s="75" t="s">
        <v>289</v>
      </c>
      <c r="D49" s="30">
        <v>36255</v>
      </c>
    </row>
    <row r="50" spans="1:5" x14ac:dyDescent="0.25">
      <c r="A50" s="89">
        <v>46</v>
      </c>
      <c r="B50" s="80" t="s">
        <v>336</v>
      </c>
      <c r="C50" s="75" t="s">
        <v>290</v>
      </c>
      <c r="D50" s="30">
        <f>SUM(D51:D52)+'Település-üzemeltetés'!H12</f>
        <v>20300</v>
      </c>
    </row>
    <row r="51" spans="1:5" x14ac:dyDescent="0.25">
      <c r="A51" s="91">
        <v>47</v>
      </c>
      <c r="B51" s="82" t="s">
        <v>405</v>
      </c>
      <c r="C51" s="82"/>
      <c r="D51" s="30">
        <v>300</v>
      </c>
    </row>
    <row r="52" spans="1:5" x14ac:dyDescent="0.25">
      <c r="A52" s="91">
        <v>48</v>
      </c>
      <c r="B52" s="82" t="s">
        <v>291</v>
      </c>
      <c r="C52" s="77"/>
      <c r="D52" s="30"/>
    </row>
    <row r="53" spans="1:5" ht="15.75" x14ac:dyDescent="0.25">
      <c r="A53" s="41">
        <v>49</v>
      </c>
      <c r="B53" s="27" t="s">
        <v>337</v>
      </c>
      <c r="C53" s="27" t="s">
        <v>292</v>
      </c>
      <c r="D53" s="31">
        <f>SUM(D47:D50)+D42+D44+D45</f>
        <v>8397302.5700000003</v>
      </c>
    </row>
    <row r="54" spans="1:5" x14ac:dyDescent="0.25">
      <c r="A54" s="89">
        <v>50</v>
      </c>
      <c r="B54" s="80" t="s">
        <v>293</v>
      </c>
      <c r="C54" s="75" t="s">
        <v>294</v>
      </c>
      <c r="D54" s="30">
        <f>SUM(D55:D56)</f>
        <v>3392175</v>
      </c>
    </row>
    <row r="55" spans="1:5" x14ac:dyDescent="0.25">
      <c r="A55" s="91">
        <v>51</v>
      </c>
      <c r="B55" s="82" t="s">
        <v>295</v>
      </c>
      <c r="C55" s="77"/>
      <c r="D55" s="39">
        <f>'Település-üzemeltetés'!H11+1830200</f>
        <v>2904680</v>
      </c>
    </row>
    <row r="56" spans="1:5" x14ac:dyDescent="0.25">
      <c r="A56" s="91">
        <v>52</v>
      </c>
      <c r="B56" s="82" t="s">
        <v>300</v>
      </c>
      <c r="C56" s="77"/>
      <c r="D56" s="39">
        <f>+'Település-üzemeltetés'!H13+'Település-üzemeltetés'!H9</f>
        <v>487495</v>
      </c>
    </row>
    <row r="57" spans="1:5" ht="15.75" x14ac:dyDescent="0.25">
      <c r="A57" s="41">
        <v>53</v>
      </c>
      <c r="B57" s="27" t="s">
        <v>296</v>
      </c>
      <c r="C57" s="27" t="s">
        <v>297</v>
      </c>
      <c r="D57" s="31">
        <f>D54</f>
        <v>3392175</v>
      </c>
    </row>
    <row r="58" spans="1:5" x14ac:dyDescent="0.25">
      <c r="A58" s="89">
        <v>54</v>
      </c>
      <c r="B58" s="80" t="s">
        <v>298</v>
      </c>
      <c r="C58" s="75" t="s">
        <v>299</v>
      </c>
      <c r="D58" s="30">
        <f>D59</f>
        <v>865000</v>
      </c>
    </row>
    <row r="59" spans="1:5" x14ac:dyDescent="0.25">
      <c r="A59" s="91">
        <v>55</v>
      </c>
      <c r="B59" s="82" t="s">
        <v>300</v>
      </c>
      <c r="C59" s="77"/>
      <c r="D59" s="39">
        <f>'Koncessziós díj és vízterm.'!F10</f>
        <v>865000</v>
      </c>
    </row>
    <row r="60" spans="1:5" ht="15.75" x14ac:dyDescent="0.25">
      <c r="A60" s="41">
        <v>56</v>
      </c>
      <c r="B60" s="27" t="s">
        <v>301</v>
      </c>
      <c r="C60" s="27" t="s">
        <v>302</v>
      </c>
      <c r="D60" s="31">
        <f>D58</f>
        <v>865000</v>
      </c>
    </row>
    <row r="61" spans="1:5" ht="15.75" x14ac:dyDescent="0.25">
      <c r="A61" s="95">
        <v>57</v>
      </c>
      <c r="B61" s="96" t="s">
        <v>338</v>
      </c>
      <c r="C61" s="96" t="s">
        <v>303</v>
      </c>
      <c r="D61" s="97">
        <f>D18+D21+D41+D53+D57+D60</f>
        <v>239377872.56999999</v>
      </c>
    </row>
    <row r="62" spans="1:5" x14ac:dyDescent="0.25">
      <c r="A62" s="86">
        <v>58</v>
      </c>
      <c r="B62" s="74" t="s">
        <v>246</v>
      </c>
      <c r="C62" s="74" t="s">
        <v>245</v>
      </c>
      <c r="D62" s="30">
        <f>301107758+127628409-189370496-118019262</f>
        <v>121346409</v>
      </c>
    </row>
    <row r="63" spans="1:5" x14ac:dyDescent="0.25">
      <c r="A63" s="86"/>
      <c r="B63" s="7" t="s">
        <v>407</v>
      </c>
      <c r="C63" s="25"/>
      <c r="D63" s="150">
        <v>116132103</v>
      </c>
    </row>
    <row r="64" spans="1:5" x14ac:dyDescent="0.25">
      <c r="A64" s="86"/>
      <c r="B64" s="152" t="s">
        <v>368</v>
      </c>
      <c r="C64" s="153"/>
      <c r="D64" s="154">
        <f>+'Közhatalmi bevételek'!E18</f>
        <v>4654698</v>
      </c>
      <c r="E64" s="104">
        <f>SUM(D63:D64)</f>
        <v>120786801</v>
      </c>
    </row>
    <row r="65" spans="1:5" x14ac:dyDescent="0.25">
      <c r="A65" s="86"/>
      <c r="B65" s="7" t="s">
        <v>432</v>
      </c>
      <c r="C65" s="25"/>
      <c r="D65" s="150">
        <f>+E65</f>
        <v>559608</v>
      </c>
      <c r="E65" s="104">
        <f>+D62-E64</f>
        <v>559608</v>
      </c>
    </row>
    <row r="66" spans="1:5" x14ac:dyDescent="0.25">
      <c r="A66" s="88">
        <v>59</v>
      </c>
      <c r="B66" s="78" t="s">
        <v>340</v>
      </c>
      <c r="C66" s="78" t="s">
        <v>304</v>
      </c>
      <c r="D66" s="100">
        <f>D62</f>
        <v>121346409</v>
      </c>
    </row>
    <row r="67" spans="1:5" x14ac:dyDescent="0.25">
      <c r="A67" s="88">
        <v>60</v>
      </c>
      <c r="B67" s="78" t="s">
        <v>305</v>
      </c>
      <c r="C67" s="78" t="s">
        <v>306</v>
      </c>
      <c r="D67" s="100">
        <v>0</v>
      </c>
    </row>
    <row r="68" spans="1:5" x14ac:dyDescent="0.25">
      <c r="A68" s="92">
        <v>61</v>
      </c>
      <c r="B68" s="84" t="s">
        <v>339</v>
      </c>
      <c r="C68" s="78" t="s">
        <v>307</v>
      </c>
      <c r="D68" s="100">
        <f>SUM(D66:D67)</f>
        <v>121346409</v>
      </c>
    </row>
    <row r="69" spans="1:5" ht="16.5" thickBot="1" x14ac:dyDescent="0.3">
      <c r="A69" s="95">
        <v>62</v>
      </c>
      <c r="B69" s="96" t="s">
        <v>362</v>
      </c>
      <c r="C69" s="96" t="s">
        <v>308</v>
      </c>
      <c r="D69" s="97">
        <f>D68</f>
        <v>121346409</v>
      </c>
    </row>
    <row r="70" spans="1:5" ht="18.75" thickBot="1" x14ac:dyDescent="0.3">
      <c r="A70" s="60">
        <v>63</v>
      </c>
      <c r="B70" s="47" t="s">
        <v>363</v>
      </c>
      <c r="C70" s="47" t="s">
        <v>309</v>
      </c>
      <c r="D70" s="94">
        <f>D61+D69</f>
        <v>360724281.56999999</v>
      </c>
    </row>
    <row r="71" spans="1:5" ht="31.5" x14ac:dyDescent="0.25">
      <c r="A71" s="62" t="s">
        <v>14</v>
      </c>
      <c r="B71" s="62" t="s">
        <v>74</v>
      </c>
      <c r="C71" s="83" t="s">
        <v>247</v>
      </c>
      <c r="D71" s="62" t="s">
        <v>98</v>
      </c>
    </row>
    <row r="72" spans="1:5" x14ac:dyDescent="0.25">
      <c r="A72" s="93">
        <v>1</v>
      </c>
      <c r="B72" s="85" t="s">
        <v>26</v>
      </c>
      <c r="C72" s="23" t="s">
        <v>99</v>
      </c>
      <c r="D72" s="30">
        <f>'Település-üzemeltetés'!I21+'Kulturális feladatok'!G12+Közmunkaprogram!D13</f>
        <v>13251741</v>
      </c>
    </row>
    <row r="73" spans="1:5" x14ac:dyDescent="0.25">
      <c r="A73" s="54">
        <v>2</v>
      </c>
      <c r="B73" s="1" t="s">
        <v>27</v>
      </c>
      <c r="C73" s="23" t="s">
        <v>100</v>
      </c>
      <c r="D73" s="30">
        <f>'Település-üzemeltetés'!I22+'Kulturális feladatok'!G13</f>
        <v>253200</v>
      </c>
    </row>
    <row r="74" spans="1:5" x14ac:dyDescent="0.25">
      <c r="A74" s="54">
        <v>3</v>
      </c>
      <c r="B74" s="1" t="s">
        <v>28</v>
      </c>
      <c r="C74" s="23" t="s">
        <v>101</v>
      </c>
      <c r="D74" s="30">
        <f>'Település-üzemeltetés'!I23+'Kulturális feladatok'!G14+'Hivatal felújítás pályázat'!D11</f>
        <v>15000</v>
      </c>
    </row>
    <row r="75" spans="1:5" x14ac:dyDescent="0.25">
      <c r="A75" s="54">
        <v>4</v>
      </c>
      <c r="B75" s="1" t="s">
        <v>169</v>
      </c>
      <c r="C75" s="23" t="s">
        <v>102</v>
      </c>
      <c r="D75" s="30">
        <f>'Település-üzemeltetés'!I24+Közmunkaprogram!D14</f>
        <v>0</v>
      </c>
    </row>
    <row r="76" spans="1:5" x14ac:dyDescent="0.25">
      <c r="A76" s="55">
        <v>5</v>
      </c>
      <c r="B76" s="2" t="s">
        <v>76</v>
      </c>
      <c r="C76" s="24" t="s">
        <v>103</v>
      </c>
      <c r="D76" s="100">
        <f>SUM(D72:D75)</f>
        <v>13519941</v>
      </c>
    </row>
    <row r="77" spans="1:5" x14ac:dyDescent="0.25">
      <c r="A77" s="54">
        <v>6</v>
      </c>
      <c r="B77" s="1" t="s">
        <v>29</v>
      </c>
      <c r="C77" s="23" t="s">
        <v>104</v>
      </c>
      <c r="D77" s="30">
        <f>'Település-üzemeltetés'!I26</f>
        <v>7568513.4000000004</v>
      </c>
    </row>
    <row r="78" spans="1:5" ht="28.5" x14ac:dyDescent="0.25">
      <c r="A78" s="54">
        <v>7</v>
      </c>
      <c r="B78" s="1" t="s">
        <v>30</v>
      </c>
      <c r="C78" s="23" t="s">
        <v>105</v>
      </c>
      <c r="D78" s="30">
        <f>'Település-üzemeltetés'!I27</f>
        <v>0</v>
      </c>
    </row>
    <row r="79" spans="1:5" x14ac:dyDescent="0.25">
      <c r="A79" s="54">
        <v>8</v>
      </c>
      <c r="B79" s="1" t="s">
        <v>31</v>
      </c>
      <c r="C79" s="23" t="s">
        <v>106</v>
      </c>
      <c r="D79" s="30">
        <f>'Település-üzemeltetés'!I28</f>
        <v>0</v>
      </c>
    </row>
    <row r="80" spans="1:5" x14ac:dyDescent="0.25">
      <c r="A80" s="55">
        <v>9</v>
      </c>
      <c r="B80" s="2" t="s">
        <v>77</v>
      </c>
      <c r="C80" s="24" t="s">
        <v>107</v>
      </c>
      <c r="D80" s="100">
        <f>SUM(D77:D79)</f>
        <v>7568513.4000000004</v>
      </c>
    </row>
    <row r="81" spans="1:4" ht="15.75" x14ac:dyDescent="0.25">
      <c r="A81" s="41">
        <v>10</v>
      </c>
      <c r="B81" s="27" t="s">
        <v>78</v>
      </c>
      <c r="C81" s="27" t="s">
        <v>108</v>
      </c>
      <c r="D81" s="31">
        <f>D76+D80</f>
        <v>21088454.399999999</v>
      </c>
    </row>
    <row r="82" spans="1:4" ht="15.75" x14ac:dyDescent="0.25">
      <c r="A82" s="41">
        <v>11</v>
      </c>
      <c r="B82" s="27" t="s">
        <v>341</v>
      </c>
      <c r="C82" s="27" t="s">
        <v>109</v>
      </c>
      <c r="D82" s="31">
        <f>SUM(D83:D86)</f>
        <v>3885574.1105</v>
      </c>
    </row>
    <row r="83" spans="1:4" x14ac:dyDescent="0.25">
      <c r="A83" s="57">
        <v>12</v>
      </c>
      <c r="B83" s="3" t="s">
        <v>32</v>
      </c>
      <c r="C83" s="25" t="s">
        <v>110</v>
      </c>
      <c r="D83" s="39">
        <f>'Település-üzemeltetés'!I32+'Kulturális feladatok'!G18+Közmunkaprogram!D18</f>
        <v>3843983.1105</v>
      </c>
    </row>
    <row r="84" spans="1:4" x14ac:dyDescent="0.25">
      <c r="A84" s="57">
        <v>13</v>
      </c>
      <c r="B84" s="3" t="s">
        <v>33</v>
      </c>
      <c r="C84" s="25" t="s">
        <v>111</v>
      </c>
      <c r="D84" s="39">
        <f>'Település-üzemeltetés'!I33+'Kulturális feladatok'!G19</f>
        <v>0</v>
      </c>
    </row>
    <row r="85" spans="1:4" x14ac:dyDescent="0.25">
      <c r="A85" s="57">
        <v>14</v>
      </c>
      <c r="B85" s="3" t="s">
        <v>171</v>
      </c>
      <c r="C85" s="25" t="s">
        <v>172</v>
      </c>
      <c r="D85" s="39">
        <f>Közmunkaprogram!D19</f>
        <v>3611</v>
      </c>
    </row>
    <row r="86" spans="1:4" x14ac:dyDescent="0.25">
      <c r="A86" s="57">
        <v>15</v>
      </c>
      <c r="B86" s="3" t="s">
        <v>34</v>
      </c>
      <c r="C86" s="25" t="s">
        <v>112</v>
      </c>
      <c r="D86" s="39">
        <f>'Település-üzemeltetés'!I34+'Kulturális feladatok'!G20</f>
        <v>37980</v>
      </c>
    </row>
    <row r="87" spans="1:4" ht="15.75" x14ac:dyDescent="0.25">
      <c r="A87" s="42">
        <v>16</v>
      </c>
      <c r="B87" s="37" t="s">
        <v>35</v>
      </c>
      <c r="C87" s="37" t="s">
        <v>113</v>
      </c>
      <c r="D87" s="38">
        <f>D81+D82</f>
        <v>24974028.510499999</v>
      </c>
    </row>
    <row r="88" spans="1:4" x14ac:dyDescent="0.25">
      <c r="A88" s="54">
        <v>17</v>
      </c>
      <c r="B88" s="1" t="s">
        <v>36</v>
      </c>
      <c r="C88" s="23" t="s">
        <v>114</v>
      </c>
      <c r="D88" s="30">
        <f>'Település-üzemeltetés'!I36+'Kulturális feladatok'!G22</f>
        <v>200000</v>
      </c>
    </row>
    <row r="89" spans="1:4" x14ac:dyDescent="0.25">
      <c r="A89" s="54">
        <v>18</v>
      </c>
      <c r="B89" s="1" t="s">
        <v>39</v>
      </c>
      <c r="C89" s="23" t="s">
        <v>115</v>
      </c>
      <c r="D89" s="30">
        <f>'Település-üzemeltetés'!I39+'Kulturális feladatok'!G25+'Művelődési feladatok'!D14+'Művelődési feladatok'!E14+Közmunkaprogram!D21+'Koncessziós díj és vízterm.'!D15+Ravatalozó!D13+Sportpálya!D6+'Szociális feladatok'!G13+'Téli rezsicsökkentés pályázat'!D11</f>
        <v>10200798.582677167</v>
      </c>
    </row>
    <row r="90" spans="1:4" x14ac:dyDescent="0.25">
      <c r="A90" s="55">
        <v>19</v>
      </c>
      <c r="B90" s="2" t="s">
        <v>80</v>
      </c>
      <c r="C90" s="24" t="s">
        <v>116</v>
      </c>
      <c r="D90" s="100">
        <f>D88+D89</f>
        <v>10400798.582677167</v>
      </c>
    </row>
    <row r="91" spans="1:4" x14ac:dyDescent="0.25">
      <c r="A91" s="54">
        <v>20</v>
      </c>
      <c r="B91" s="1" t="s">
        <v>45</v>
      </c>
      <c r="C91" s="23" t="s">
        <v>117</v>
      </c>
      <c r="D91" s="30">
        <f>'Település-üzemeltetés'!I47+'Kulturális feladatok'!G33</f>
        <v>179684</v>
      </c>
    </row>
    <row r="92" spans="1:4" x14ac:dyDescent="0.25">
      <c r="A92" s="54">
        <v>21</v>
      </c>
      <c r="B92" s="1" t="s">
        <v>48</v>
      </c>
      <c r="C92" s="23" t="s">
        <v>118</v>
      </c>
      <c r="D92" s="30">
        <f>'Település-üzemeltetés'!I48+'Kulturális feladatok'!G36</f>
        <v>189200</v>
      </c>
    </row>
    <row r="93" spans="1:4" x14ac:dyDescent="0.25">
      <c r="A93" s="55">
        <v>22</v>
      </c>
      <c r="B93" s="2" t="s">
        <v>81</v>
      </c>
      <c r="C93" s="24" t="s">
        <v>119</v>
      </c>
      <c r="D93" s="100">
        <f>SUM(D91:D92)</f>
        <v>368884</v>
      </c>
    </row>
    <row r="94" spans="1:4" x14ac:dyDescent="0.25">
      <c r="A94" s="54">
        <v>23</v>
      </c>
      <c r="B94" s="1" t="s">
        <v>50</v>
      </c>
      <c r="C94" s="23" t="s">
        <v>120</v>
      </c>
      <c r="D94" s="30">
        <f>SUM(D95:D97)</f>
        <v>5342000</v>
      </c>
    </row>
    <row r="95" spans="1:4" x14ac:dyDescent="0.25">
      <c r="A95" s="58">
        <v>24</v>
      </c>
      <c r="B95" s="4" t="s">
        <v>51</v>
      </c>
      <c r="C95" s="25"/>
      <c r="D95" s="39">
        <f>'Település-üzemeltetés'!I52+'Kulturális feladatok'!G40+Ravatalozó!D17+Sportpálya!D10</f>
        <v>4145000</v>
      </c>
    </row>
    <row r="96" spans="1:4" x14ac:dyDescent="0.25">
      <c r="A96" s="58">
        <v>25</v>
      </c>
      <c r="B96" s="4" t="s">
        <v>52</v>
      </c>
      <c r="C96" s="25"/>
      <c r="D96" s="39">
        <f>'Település-üzemeltetés'!I53+'Kulturális feladatok'!G41+Sportpálya!D11</f>
        <v>1020000</v>
      </c>
    </row>
    <row r="97" spans="1:4" x14ac:dyDescent="0.25">
      <c r="A97" s="58">
        <v>26</v>
      </c>
      <c r="B97" s="4" t="s">
        <v>53</v>
      </c>
      <c r="C97" s="25"/>
      <c r="D97" s="39">
        <f>'Település-üzemeltetés'!I54+'Kulturális feladatok'!G42+Sportpálya!D12+'Koncessziós díj és vízterm.'!D19</f>
        <v>177000</v>
      </c>
    </row>
    <row r="98" spans="1:4" x14ac:dyDescent="0.25">
      <c r="A98" s="54">
        <v>27</v>
      </c>
      <c r="B98" s="1" t="s">
        <v>54</v>
      </c>
      <c r="C98" s="23" t="s">
        <v>121</v>
      </c>
      <c r="D98" s="30">
        <f>'Település-üzemeltetés'!I55</f>
        <v>157480.31496062991</v>
      </c>
    </row>
    <row r="99" spans="1:4" x14ac:dyDescent="0.25">
      <c r="A99" s="54">
        <v>28</v>
      </c>
      <c r="B99" s="1" t="s">
        <v>82</v>
      </c>
      <c r="C99" s="23" t="s">
        <v>122</v>
      </c>
      <c r="D99" s="30">
        <f>'Település-üzemeltetés'!I56</f>
        <v>0</v>
      </c>
    </row>
    <row r="100" spans="1:4" x14ac:dyDescent="0.25">
      <c r="A100" s="54">
        <v>29</v>
      </c>
      <c r="B100" s="1" t="s">
        <v>55</v>
      </c>
      <c r="C100" s="23" t="s">
        <v>123</v>
      </c>
      <c r="D100" s="30">
        <f>'Település-üzemeltetés'!I57+'Szociális feladatok'!G18+'Kulturális feladatok'!G45+Ravatalozó!D18+Sportpálya!D13+'Koncessziós díj és vízterm.'!D20</f>
        <v>1150720</v>
      </c>
    </row>
    <row r="101" spans="1:4" x14ac:dyDescent="0.25">
      <c r="A101" s="54">
        <v>30</v>
      </c>
      <c r="B101" s="1" t="s">
        <v>56</v>
      </c>
      <c r="C101" s="23" t="s">
        <v>125</v>
      </c>
      <c r="D101" s="30">
        <f>'Település-üzemeltetés'!I59+'Szociális feladatok'!G19+'Kulturális feladatok'!G47+'Koncessziós díj és vízterm.'!D21+'Hivatal felújítás pályázat'!D13</f>
        <v>1731150</v>
      </c>
    </row>
    <row r="102" spans="1:4" x14ac:dyDescent="0.25">
      <c r="A102" s="54">
        <v>31</v>
      </c>
      <c r="B102" s="1" t="s">
        <v>361</v>
      </c>
      <c r="C102" s="23" t="s">
        <v>126</v>
      </c>
      <c r="D102" s="30">
        <f>'Település-üzemeltetés'!I60+'Szociális feladatok'!G20+'Kulturális feladatok'!G48+'Művelődési feladatok'!D17</f>
        <v>3749700.7874015747</v>
      </c>
    </row>
    <row r="103" spans="1:4" x14ac:dyDescent="0.25">
      <c r="A103" s="57">
        <v>32</v>
      </c>
      <c r="B103" s="3" t="s">
        <v>156</v>
      </c>
      <c r="C103" s="25"/>
      <c r="D103" s="39">
        <f>'Település-üzemeltetés'!I65+'Szociális feladatok'!G23+'Kulturális feladatok'!G52</f>
        <v>890000</v>
      </c>
    </row>
    <row r="104" spans="1:4" x14ac:dyDescent="0.25">
      <c r="A104" s="55">
        <v>33</v>
      </c>
      <c r="B104" s="2" t="s">
        <v>85</v>
      </c>
      <c r="C104" s="24" t="s">
        <v>127</v>
      </c>
      <c r="D104" s="100">
        <f>SUM(D98:D102)+D94</f>
        <v>12131051.102362204</v>
      </c>
    </row>
    <row r="105" spans="1:4" x14ac:dyDescent="0.25">
      <c r="A105" s="54">
        <v>34</v>
      </c>
      <c r="B105" s="1" t="s">
        <v>57</v>
      </c>
      <c r="C105" s="23" t="s">
        <v>128</v>
      </c>
      <c r="D105" s="30">
        <f>'Település-üzemeltetés'!I67+'Kulturális feladatok'!G54</f>
        <v>0</v>
      </c>
    </row>
    <row r="106" spans="1:4" x14ac:dyDescent="0.25">
      <c r="A106" s="54">
        <v>35</v>
      </c>
      <c r="B106" s="1" t="s">
        <v>58</v>
      </c>
      <c r="C106" s="23" t="s">
        <v>129</v>
      </c>
      <c r="D106" s="30">
        <f>'Település-üzemeltetés'!I68+'Kulturális feladatok'!G55</f>
        <v>150000</v>
      </c>
    </row>
    <row r="107" spans="1:4" x14ac:dyDescent="0.25">
      <c r="A107" s="55">
        <v>36</v>
      </c>
      <c r="B107" s="2" t="s">
        <v>86</v>
      </c>
      <c r="C107" s="24" t="s">
        <v>130</v>
      </c>
      <c r="D107" s="100">
        <f>SUM(D105:D106)</f>
        <v>150000</v>
      </c>
    </row>
    <row r="108" spans="1:4" x14ac:dyDescent="0.25">
      <c r="A108" s="54">
        <v>37</v>
      </c>
      <c r="B108" s="1" t="s">
        <v>59</v>
      </c>
      <c r="C108" s="23" t="s">
        <v>131</v>
      </c>
      <c r="D108" s="30">
        <f>'Település-üzemeltetés'!I70+'Szociális feladatok'!G25+'Kulturális feladatok'!G57+'Művelődési feladatok'!D20+Közmunkaprogram!D28+'Koncessziós díj és vízterm.'!D23+Ravatalozó!D20+Sportpálya!D15+'Hivatal felújítás pályázat'!D14+'Téli rezsicsökkentés pályázat'!D12+'Művelődési feladatok'!E20</f>
        <v>5096744.7149606301</v>
      </c>
    </row>
    <row r="109" spans="1:4" x14ac:dyDescent="0.25">
      <c r="A109" s="54">
        <v>38</v>
      </c>
      <c r="B109" s="1" t="s">
        <v>60</v>
      </c>
      <c r="C109" s="23" t="s">
        <v>132</v>
      </c>
      <c r="D109" s="30">
        <f>'Település-üzemeltetés'!I71</f>
        <v>1154436.57</v>
      </c>
    </row>
    <row r="110" spans="1:4" x14ac:dyDescent="0.25">
      <c r="A110" s="54">
        <v>39</v>
      </c>
      <c r="B110" s="1" t="s">
        <v>61</v>
      </c>
      <c r="C110" s="23" t="s">
        <v>134</v>
      </c>
      <c r="D110" s="30">
        <f>300+'Település-üzemeltetés'!I73+'Szociális feladatok'!G26+'Kulturális feladatok'!G58</f>
        <v>1115300</v>
      </c>
    </row>
    <row r="111" spans="1:4" x14ac:dyDescent="0.25">
      <c r="A111" s="55">
        <v>40</v>
      </c>
      <c r="B111" s="2" t="s">
        <v>88</v>
      </c>
      <c r="C111" s="24" t="s">
        <v>135</v>
      </c>
      <c r="D111" s="100">
        <f>SUM(D108:D110)</f>
        <v>7366481.2849606303</v>
      </c>
    </row>
    <row r="112" spans="1:4" ht="15.75" x14ac:dyDescent="0.25">
      <c r="A112" s="41">
        <v>41</v>
      </c>
      <c r="B112" s="27" t="s">
        <v>89</v>
      </c>
      <c r="C112" s="27" t="s">
        <v>136</v>
      </c>
      <c r="D112" s="31">
        <f>D90+D93+D104+D107+D111</f>
        <v>30417214.970000003</v>
      </c>
    </row>
    <row r="113" spans="1:5" x14ac:dyDescent="0.25">
      <c r="A113" s="54">
        <v>42</v>
      </c>
      <c r="B113" s="1" t="s">
        <v>230</v>
      </c>
      <c r="C113" s="23" t="s">
        <v>231</v>
      </c>
      <c r="D113" s="30">
        <f>+'Szociális feladatok'!I55</f>
        <v>941500</v>
      </c>
    </row>
    <row r="114" spans="1:5" x14ac:dyDescent="0.25">
      <c r="A114" s="59">
        <v>43</v>
      </c>
      <c r="B114" s="6" t="s">
        <v>90</v>
      </c>
      <c r="C114" s="26" t="s">
        <v>137</v>
      </c>
      <c r="D114" s="30">
        <f>'Szociális feladatok'!G31</f>
        <v>5915000</v>
      </c>
    </row>
    <row r="115" spans="1:5" ht="15.75" x14ac:dyDescent="0.25">
      <c r="A115" s="41">
        <v>44</v>
      </c>
      <c r="B115" s="27" t="s">
        <v>92</v>
      </c>
      <c r="C115" s="27" t="s">
        <v>138</v>
      </c>
      <c r="D115" s="31">
        <f>D113+D114</f>
        <v>6856500</v>
      </c>
    </row>
    <row r="116" spans="1:5" x14ac:dyDescent="0.25">
      <c r="A116" s="59">
        <v>45</v>
      </c>
      <c r="B116" s="167" t="s">
        <v>426</v>
      </c>
      <c r="C116" s="167" t="s">
        <v>423</v>
      </c>
      <c r="D116" s="168">
        <f>228380+1815300+14900+13500</f>
        <v>2072080</v>
      </c>
    </row>
    <row r="117" spans="1:5" x14ac:dyDescent="0.25">
      <c r="A117" s="59">
        <v>46</v>
      </c>
      <c r="B117" s="6" t="s">
        <v>425</v>
      </c>
      <c r="C117" s="23" t="s">
        <v>424</v>
      </c>
      <c r="D117" s="30">
        <f>+D116</f>
        <v>2072080</v>
      </c>
    </row>
    <row r="118" spans="1:5" x14ac:dyDescent="0.25">
      <c r="A118" s="59">
        <v>47</v>
      </c>
      <c r="B118" s="6" t="s">
        <v>93</v>
      </c>
      <c r="C118" s="23" t="s">
        <v>139</v>
      </c>
      <c r="D118" s="30">
        <f>D119+D120</f>
        <v>8407500</v>
      </c>
    </row>
    <row r="119" spans="1:5" x14ac:dyDescent="0.25">
      <c r="A119" s="65">
        <v>48</v>
      </c>
      <c r="B119" s="7" t="s">
        <v>62</v>
      </c>
      <c r="C119" s="25"/>
      <c r="D119" s="39">
        <f>'Szociális feladatok'!G41+'Település-üzemeltetés'!I76</f>
        <v>8034000</v>
      </c>
    </row>
    <row r="120" spans="1:5" x14ac:dyDescent="0.25">
      <c r="A120" s="65">
        <v>49</v>
      </c>
      <c r="B120" s="7" t="s">
        <v>391</v>
      </c>
      <c r="C120" s="149"/>
      <c r="D120" s="30">
        <f>'Szociális feladatok'!G42</f>
        <v>373500</v>
      </c>
    </row>
    <row r="121" spans="1:5" x14ac:dyDescent="0.25">
      <c r="A121" s="59">
        <v>50</v>
      </c>
      <c r="B121" s="6" t="s">
        <v>342</v>
      </c>
      <c r="C121" s="23" t="s">
        <v>310</v>
      </c>
      <c r="D121" s="30">
        <f>SUM(D122:D123)</f>
        <v>8693880</v>
      </c>
    </row>
    <row r="122" spans="1:5" x14ac:dyDescent="0.25">
      <c r="A122" s="65">
        <v>51</v>
      </c>
      <c r="B122" s="7" t="s">
        <v>311</v>
      </c>
      <c r="C122" s="4"/>
      <c r="D122" s="39">
        <f>'Civil szervezetek'!D15</f>
        <v>6693880</v>
      </c>
    </row>
    <row r="123" spans="1:5" x14ac:dyDescent="0.25">
      <c r="A123" s="65">
        <v>52</v>
      </c>
      <c r="B123" s="7" t="s">
        <v>300</v>
      </c>
      <c r="C123" s="149"/>
      <c r="D123" s="39">
        <f>'Szociális feladatok'!G44</f>
        <v>2000000</v>
      </c>
    </row>
    <row r="124" spans="1:5" x14ac:dyDescent="0.25">
      <c r="A124" s="59">
        <v>53</v>
      </c>
      <c r="B124" s="6" t="s">
        <v>367</v>
      </c>
      <c r="C124" s="1" t="s">
        <v>141</v>
      </c>
      <c r="D124" s="30">
        <v>110655592</v>
      </c>
    </row>
    <row r="125" spans="1:5" s="71" customFormat="1" x14ac:dyDescent="0.25">
      <c r="A125" s="65">
        <v>54</v>
      </c>
      <c r="B125" s="7" t="s">
        <v>431</v>
      </c>
      <c r="C125" s="25"/>
      <c r="D125" s="150">
        <v>105441286</v>
      </c>
      <c r="E125" s="164">
        <f>+D124-D126-D127</f>
        <v>105441286</v>
      </c>
    </row>
    <row r="126" spans="1:5" s="71" customFormat="1" x14ac:dyDescent="0.25">
      <c r="A126" s="151">
        <v>55</v>
      </c>
      <c r="B126" s="152" t="s">
        <v>368</v>
      </c>
      <c r="C126" s="153"/>
      <c r="D126" s="154">
        <f>+'Közhatalmi bevételek'!E18</f>
        <v>4654698</v>
      </c>
      <c r="E126" s="164"/>
    </row>
    <row r="127" spans="1:5" s="71" customFormat="1" x14ac:dyDescent="0.25">
      <c r="A127" s="151">
        <v>56</v>
      </c>
      <c r="B127" s="7" t="s">
        <v>432</v>
      </c>
      <c r="C127" s="25"/>
      <c r="D127" s="150">
        <f>+D65</f>
        <v>559608</v>
      </c>
      <c r="E127" s="164"/>
    </row>
    <row r="128" spans="1:5" ht="15.75" x14ac:dyDescent="0.25">
      <c r="A128" s="41">
        <v>57</v>
      </c>
      <c r="B128" s="27" t="s">
        <v>94</v>
      </c>
      <c r="C128" s="27" t="s">
        <v>142</v>
      </c>
      <c r="D128" s="146">
        <f>D117+D118+D121+D124</f>
        <v>129829052</v>
      </c>
      <c r="E128" s="104"/>
    </row>
    <row r="129" spans="1:4" ht="15.75" x14ac:dyDescent="0.25">
      <c r="A129" s="42">
        <v>58</v>
      </c>
      <c r="B129" s="37" t="s">
        <v>64</v>
      </c>
      <c r="C129" s="37" t="s">
        <v>143</v>
      </c>
      <c r="D129" s="38">
        <f>D81+D82+D112+D115+D128</f>
        <v>192076795.48049998</v>
      </c>
    </row>
    <row r="130" spans="1:4" x14ac:dyDescent="0.25">
      <c r="A130" s="59">
        <v>59</v>
      </c>
      <c r="B130" s="6" t="s">
        <v>65</v>
      </c>
      <c r="C130" s="23" t="s">
        <v>144</v>
      </c>
      <c r="D130" s="30">
        <f>'Település-üzemeltetés'!I80</f>
        <v>3570000</v>
      </c>
    </row>
    <row r="131" spans="1:4" x14ac:dyDescent="0.25">
      <c r="A131" s="59">
        <v>60</v>
      </c>
      <c r="B131" s="6" t="s">
        <v>95</v>
      </c>
      <c r="C131" s="23" t="s">
        <v>145</v>
      </c>
      <c r="D131" s="30">
        <f>+'Kulturális feladatok'!G65</f>
        <v>787401.57480314956</v>
      </c>
    </row>
    <row r="132" spans="1:4" x14ac:dyDescent="0.25">
      <c r="A132" s="54">
        <v>61</v>
      </c>
      <c r="B132" s="1" t="s">
        <v>66</v>
      </c>
      <c r="C132" s="23" t="s">
        <v>146</v>
      </c>
      <c r="D132" s="30"/>
    </row>
    <row r="133" spans="1:4" x14ac:dyDescent="0.25">
      <c r="A133" s="59">
        <v>62</v>
      </c>
      <c r="B133" s="6" t="s">
        <v>67</v>
      </c>
      <c r="C133" s="23" t="s">
        <v>147</v>
      </c>
      <c r="D133" s="30">
        <f>'Település-üzemeltetés'!I83+'Szociális feladatok'!G51+Közmunkaprogram!D38+'Kulturális feladatok'!G67+Sportpálya!D24</f>
        <v>323622.04724409449</v>
      </c>
    </row>
    <row r="134" spans="1:4" x14ac:dyDescent="0.25">
      <c r="A134" s="54">
        <v>63</v>
      </c>
      <c r="B134" s="1" t="s">
        <v>68</v>
      </c>
      <c r="C134" s="23" t="s">
        <v>148</v>
      </c>
      <c r="D134" s="30">
        <f>'Település-üzemeltetés'!I84+'Szociális feladatok'!G52+Közmunkaprogram!D39+'Kulturális feladatok'!G68</f>
        <v>1182876.3779527559</v>
      </c>
    </row>
    <row r="135" spans="1:4" ht="15.75" x14ac:dyDescent="0.25">
      <c r="A135" s="41">
        <v>64</v>
      </c>
      <c r="B135" s="27" t="s">
        <v>96</v>
      </c>
      <c r="C135" s="27" t="s">
        <v>149</v>
      </c>
      <c r="D135" s="31">
        <f>SUM(D130:D134)</f>
        <v>5863900</v>
      </c>
    </row>
    <row r="136" spans="1:4" x14ac:dyDescent="0.25">
      <c r="A136" s="59">
        <v>65</v>
      </c>
      <c r="B136" s="6" t="s">
        <v>69</v>
      </c>
      <c r="C136" s="23" t="s">
        <v>150</v>
      </c>
      <c r="D136" s="30">
        <f>'Hivatal felújítás pályázat'!D17+'Vis maior - Kinizsi u.'!D17+'Vis maior - Török u.'!D17+'Koncessziós díj és vízterm.'!D36+'Település-üzemeltetés'!I86</f>
        <v>41551233.858267717</v>
      </c>
    </row>
    <row r="137" spans="1:4" x14ac:dyDescent="0.25">
      <c r="A137" s="59">
        <v>66</v>
      </c>
      <c r="B137" s="6" t="s">
        <v>70</v>
      </c>
      <c r="C137" s="23" t="s">
        <v>151</v>
      </c>
      <c r="D137" s="30"/>
    </row>
    <row r="138" spans="1:4" x14ac:dyDescent="0.25">
      <c r="A138" s="59">
        <v>67</v>
      </c>
      <c r="B138" s="6" t="s">
        <v>71</v>
      </c>
      <c r="C138" s="23" t="s">
        <v>152</v>
      </c>
      <c r="D138" s="30"/>
    </row>
    <row r="139" spans="1:4" x14ac:dyDescent="0.25">
      <c r="A139" s="59">
        <v>68</v>
      </c>
      <c r="B139" s="6" t="s">
        <v>72</v>
      </c>
      <c r="C139" s="23" t="s">
        <v>153</v>
      </c>
      <c r="D139" s="30">
        <f>'Hivatal felújítás pályázat'!D18+'Vis maior - Kinizsi u.'!D18+'Vis maior - Török u.'!D18+'Koncessziós díj és vízterm.'!D39+'Település-üzemeltetés'!I89</f>
        <v>11218833.141732283</v>
      </c>
    </row>
    <row r="140" spans="1:4" ht="15.75" x14ac:dyDescent="0.25">
      <c r="A140" s="41">
        <v>69</v>
      </c>
      <c r="B140" s="27" t="s">
        <v>97</v>
      </c>
      <c r="C140" s="27" t="s">
        <v>154</v>
      </c>
      <c r="D140" s="31">
        <f>SUM(D136:D139)</f>
        <v>52770067</v>
      </c>
    </row>
    <row r="141" spans="1:4" ht="15.75" x14ac:dyDescent="0.25">
      <c r="A141" s="42">
        <v>70</v>
      </c>
      <c r="B141" s="37" t="s">
        <v>73</v>
      </c>
      <c r="C141" s="37" t="s">
        <v>155</v>
      </c>
      <c r="D141" s="38">
        <f>D135+D140</f>
        <v>58633967</v>
      </c>
    </row>
    <row r="142" spans="1:4" x14ac:dyDescent="0.25">
      <c r="A142" s="95">
        <v>71</v>
      </c>
      <c r="B142" s="96" t="s">
        <v>343</v>
      </c>
      <c r="C142" s="96" t="s">
        <v>312</v>
      </c>
      <c r="D142" s="98">
        <f>D81+D82+D112+D115+D128+D135+D140</f>
        <v>250710762.48049998</v>
      </c>
    </row>
    <row r="143" spans="1:4" x14ac:dyDescent="0.25">
      <c r="A143" s="144">
        <v>72</v>
      </c>
      <c r="B143" s="145" t="s">
        <v>313</v>
      </c>
      <c r="C143" s="145" t="s">
        <v>314</v>
      </c>
      <c r="D143" s="100">
        <v>5035762</v>
      </c>
    </row>
    <row r="144" spans="1:4" x14ac:dyDescent="0.25">
      <c r="A144" s="144">
        <v>73</v>
      </c>
      <c r="B144" s="145" t="s">
        <v>315</v>
      </c>
      <c r="C144" s="145" t="s">
        <v>316</v>
      </c>
      <c r="D144" s="100">
        <f>SUM(D145:D146)</f>
        <v>104977757</v>
      </c>
    </row>
    <row r="145" spans="1:5" x14ac:dyDescent="0.25">
      <c r="A145" s="65">
        <v>74</v>
      </c>
      <c r="B145" s="7" t="s">
        <v>317</v>
      </c>
      <c r="C145" s="7" t="s">
        <v>318</v>
      </c>
      <c r="D145" s="39">
        <f>+D12+37189600+1468317</f>
        <v>45505013</v>
      </c>
    </row>
    <row r="146" spans="1:5" x14ac:dyDescent="0.25">
      <c r="A146" s="65">
        <v>75</v>
      </c>
      <c r="B146" s="7" t="s">
        <v>374</v>
      </c>
      <c r="C146" s="7" t="s">
        <v>319</v>
      </c>
      <c r="D146" s="39">
        <f>54463665+2558000+2451079</f>
        <v>59472744</v>
      </c>
      <c r="E146" s="104"/>
    </row>
    <row r="147" spans="1:5" x14ac:dyDescent="0.25">
      <c r="A147" s="144">
        <v>76</v>
      </c>
      <c r="B147" s="145" t="s">
        <v>344</v>
      </c>
      <c r="C147" s="145" t="s">
        <v>320</v>
      </c>
      <c r="D147" s="100">
        <f>D143+D144</f>
        <v>110013519</v>
      </c>
    </row>
    <row r="148" spans="1:5" ht="15.75" thickBot="1" x14ac:dyDescent="0.3">
      <c r="A148" s="95">
        <v>77</v>
      </c>
      <c r="B148" s="96" t="s">
        <v>345</v>
      </c>
      <c r="C148" s="96" t="s">
        <v>321</v>
      </c>
      <c r="D148" s="98">
        <f>+D147</f>
        <v>110013519</v>
      </c>
    </row>
    <row r="149" spans="1:5" ht="18.75" thickBot="1" x14ac:dyDescent="0.3">
      <c r="A149" s="60">
        <v>78</v>
      </c>
      <c r="B149" s="47" t="s">
        <v>162</v>
      </c>
      <c r="C149" s="47" t="s">
        <v>322</v>
      </c>
      <c r="D149" s="94">
        <f>D142+D148</f>
        <v>360724281.48049998</v>
      </c>
    </row>
    <row r="150" spans="1:5" x14ac:dyDescent="0.25">
      <c r="D150" s="104">
        <f>D70-D149</f>
        <v>8.9500010013580322E-2</v>
      </c>
    </row>
    <row r="151" spans="1:5" x14ac:dyDescent="0.25">
      <c r="D151" s="104"/>
    </row>
    <row r="152" spans="1:5" x14ac:dyDescent="0.25">
      <c r="D152" s="104"/>
    </row>
  </sheetData>
  <mergeCells count="1">
    <mergeCell ref="A2:D2"/>
  </mergeCells>
  <printOptions horizontalCentered="1"/>
  <pageMargins left="0.70866141732283472" right="0.70866141732283472" top="0.15748031496062992" bottom="0.15748031496062992" header="0.31496062992125984" footer="0.31496062992125984"/>
  <pageSetup paperSize="9" scale="70" orientation="portrait" r:id="rId1"/>
  <rowBreaks count="1" manualBreakCount="1">
    <brk id="7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38"/>
  <sheetViews>
    <sheetView topLeftCell="A19" zoomScale="160" zoomScaleNormal="160" workbookViewId="0">
      <selection activeCell="D8" sqref="D8"/>
    </sheetView>
  </sheetViews>
  <sheetFormatPr defaultRowHeight="15" x14ac:dyDescent="0.25"/>
  <cols>
    <col min="1" max="1" width="6.85546875" customWidth="1"/>
    <col min="2" max="2" width="44.85546875" customWidth="1"/>
    <col min="3" max="3" width="10.7109375" customWidth="1"/>
    <col min="4" max="4" width="20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45" x14ac:dyDescent="0.25">
      <c r="A4" s="179" t="s">
        <v>224</v>
      </c>
      <c r="B4" s="179"/>
      <c r="C4" s="179"/>
      <c r="D4" s="9" t="s">
        <v>15</v>
      </c>
    </row>
    <row r="5" spans="1:11" ht="30" x14ac:dyDescent="0.25">
      <c r="A5" s="50" t="s">
        <v>14</v>
      </c>
      <c r="B5" s="51" t="s">
        <v>75</v>
      </c>
      <c r="C5" s="52" t="s">
        <v>0</v>
      </c>
      <c r="D5" s="53" t="s">
        <v>16</v>
      </c>
    </row>
    <row r="6" spans="1:11" x14ac:dyDescent="0.25">
      <c r="A6" s="54">
        <v>1</v>
      </c>
      <c r="B6" s="1" t="s">
        <v>242</v>
      </c>
      <c r="C6" s="1" t="s">
        <v>282</v>
      </c>
      <c r="D6" s="30">
        <v>5905</v>
      </c>
    </row>
    <row r="7" spans="1:11" x14ac:dyDescent="0.25">
      <c r="A7" s="54"/>
      <c r="B7" s="1" t="s">
        <v>393</v>
      </c>
      <c r="C7" s="1" t="s">
        <v>238</v>
      </c>
      <c r="D7" s="30">
        <f>+D6*0.27</f>
        <v>1594.3500000000001</v>
      </c>
    </row>
    <row r="8" spans="1:11" ht="15.75" x14ac:dyDescent="0.25">
      <c r="A8" s="33">
        <v>2</v>
      </c>
      <c r="B8" s="34" t="s">
        <v>98</v>
      </c>
      <c r="C8" s="35"/>
      <c r="D8" s="36">
        <f>SUM(D6:D7)</f>
        <v>7499.35</v>
      </c>
    </row>
    <row r="11" spans="1:11" ht="60" x14ac:dyDescent="0.25">
      <c r="A11" s="179" t="s">
        <v>74</v>
      </c>
      <c r="B11" s="179"/>
      <c r="C11" s="179"/>
      <c r="D11" s="19" t="s">
        <v>174</v>
      </c>
    </row>
    <row r="12" spans="1:11" ht="30" x14ac:dyDescent="0.25">
      <c r="A12" s="10" t="s">
        <v>14</v>
      </c>
      <c r="B12" s="20" t="s">
        <v>10</v>
      </c>
      <c r="C12" s="20" t="s">
        <v>0</v>
      </c>
      <c r="D12" s="13" t="s">
        <v>173</v>
      </c>
    </row>
    <row r="13" spans="1:11" x14ac:dyDescent="0.25">
      <c r="A13" s="54">
        <v>1</v>
      </c>
      <c r="B13" s="1" t="s">
        <v>39</v>
      </c>
      <c r="C13" s="23" t="s">
        <v>115</v>
      </c>
      <c r="D13" s="30">
        <f>SUM(D14:D14)</f>
        <v>0</v>
      </c>
    </row>
    <row r="14" spans="1:11" x14ac:dyDescent="0.25">
      <c r="A14" s="58">
        <v>2</v>
      </c>
      <c r="B14" s="4" t="s">
        <v>43</v>
      </c>
      <c r="C14" s="25"/>
      <c r="D14" s="39">
        <v>0</v>
      </c>
    </row>
    <row r="15" spans="1:11" x14ac:dyDescent="0.25">
      <c r="A15" s="55">
        <v>3</v>
      </c>
      <c r="B15" s="2" t="s">
        <v>80</v>
      </c>
      <c r="C15" s="24" t="s">
        <v>116</v>
      </c>
      <c r="D15" s="30">
        <f>D13</f>
        <v>0</v>
      </c>
    </row>
    <row r="16" spans="1:11" x14ac:dyDescent="0.25">
      <c r="A16" s="54">
        <v>4</v>
      </c>
      <c r="B16" s="1" t="s">
        <v>50</v>
      </c>
      <c r="C16" s="23" t="s">
        <v>120</v>
      </c>
      <c r="D16" s="30">
        <f>D17</f>
        <v>5000</v>
      </c>
    </row>
    <row r="17" spans="1:4" x14ac:dyDescent="0.25">
      <c r="A17" s="58">
        <v>5</v>
      </c>
      <c r="B17" s="4" t="s">
        <v>51</v>
      </c>
      <c r="C17" s="25"/>
      <c r="D17" s="30">
        <v>5000</v>
      </c>
    </row>
    <row r="18" spans="1:4" x14ac:dyDescent="0.25">
      <c r="A18" s="54">
        <v>6</v>
      </c>
      <c r="B18" s="1" t="s">
        <v>55</v>
      </c>
      <c r="C18" s="23" t="s">
        <v>123</v>
      </c>
      <c r="D18" s="30">
        <f>6000*4</f>
        <v>24000</v>
      </c>
    </row>
    <row r="19" spans="1:4" x14ac:dyDescent="0.25">
      <c r="A19" s="55">
        <v>7</v>
      </c>
      <c r="B19" s="2" t="s">
        <v>85</v>
      </c>
      <c r="C19" s="24" t="s">
        <v>127</v>
      </c>
      <c r="D19" s="30">
        <f>SUM(D18:D18)+D16</f>
        <v>29000</v>
      </c>
    </row>
    <row r="20" spans="1:4" ht="28.5" x14ac:dyDescent="0.25">
      <c r="A20" s="54">
        <v>8</v>
      </c>
      <c r="B20" s="1" t="s">
        <v>59</v>
      </c>
      <c r="C20" s="23" t="s">
        <v>131</v>
      </c>
      <c r="D20" s="107">
        <f>(D17+D14+D18)*0.27</f>
        <v>7830.0000000000009</v>
      </c>
    </row>
    <row r="21" spans="1:4" ht="30" x14ac:dyDescent="0.25">
      <c r="A21" s="55">
        <v>9</v>
      </c>
      <c r="B21" s="2" t="s">
        <v>88</v>
      </c>
      <c r="C21" s="24" t="s">
        <v>135</v>
      </c>
      <c r="D21" s="30">
        <f>SUM(D20:D20)</f>
        <v>7830.0000000000009</v>
      </c>
    </row>
    <row r="22" spans="1:4" ht="15.75" x14ac:dyDescent="0.25">
      <c r="A22" s="41">
        <v>10</v>
      </c>
      <c r="B22" s="27" t="s">
        <v>89</v>
      </c>
      <c r="C22" s="27" t="s">
        <v>136</v>
      </c>
      <c r="D22" s="31">
        <f>D15+D19+D21</f>
        <v>36830</v>
      </c>
    </row>
    <row r="23" spans="1:4" x14ac:dyDescent="0.25">
      <c r="A23" s="59">
        <v>11</v>
      </c>
      <c r="B23" s="6" t="s">
        <v>63</v>
      </c>
      <c r="C23" s="23" t="s">
        <v>141</v>
      </c>
      <c r="D23" s="30"/>
    </row>
    <row r="24" spans="1:4" x14ac:dyDescent="0.25">
      <c r="A24" s="43">
        <v>12</v>
      </c>
      <c r="B24" s="28" t="s">
        <v>94</v>
      </c>
      <c r="C24" s="29" t="s">
        <v>142</v>
      </c>
      <c r="D24" s="32">
        <f>D23</f>
        <v>0</v>
      </c>
    </row>
    <row r="25" spans="1:4" ht="31.5" x14ac:dyDescent="0.25">
      <c r="A25" s="42">
        <v>13</v>
      </c>
      <c r="B25" s="37" t="s">
        <v>64</v>
      </c>
      <c r="C25" s="37" t="s">
        <v>143</v>
      </c>
      <c r="D25" s="38">
        <f>D22+D24</f>
        <v>36830</v>
      </c>
    </row>
    <row r="26" spans="1:4" x14ac:dyDescent="0.25">
      <c r="A26" s="59">
        <v>14</v>
      </c>
      <c r="B26" s="6" t="s">
        <v>65</v>
      </c>
      <c r="C26" s="23" t="s">
        <v>144</v>
      </c>
      <c r="D26" s="30"/>
    </row>
    <row r="27" spans="1:4" x14ac:dyDescent="0.25">
      <c r="A27" s="59">
        <v>15</v>
      </c>
      <c r="B27" s="6" t="s">
        <v>95</v>
      </c>
      <c r="C27" s="23" t="s">
        <v>145</v>
      </c>
      <c r="D27" s="30"/>
    </row>
    <row r="28" spans="1:4" x14ac:dyDescent="0.25">
      <c r="A28" s="54">
        <v>16</v>
      </c>
      <c r="B28" s="1" t="s">
        <v>66</v>
      </c>
      <c r="C28" s="23" t="s">
        <v>146</v>
      </c>
      <c r="D28" s="30"/>
    </row>
    <row r="29" spans="1:4" x14ac:dyDescent="0.25">
      <c r="A29" s="59">
        <v>17</v>
      </c>
      <c r="B29" s="6" t="s">
        <v>67</v>
      </c>
      <c r="C29" s="23" t="s">
        <v>147</v>
      </c>
      <c r="D29" s="30"/>
    </row>
    <row r="30" spans="1:4" ht="28.5" x14ac:dyDescent="0.25">
      <c r="A30" s="54">
        <v>18</v>
      </c>
      <c r="B30" s="1" t="s">
        <v>68</v>
      </c>
      <c r="C30" s="23" t="s">
        <v>148</v>
      </c>
      <c r="D30" s="30"/>
    </row>
    <row r="31" spans="1:4" x14ac:dyDescent="0.25">
      <c r="A31" s="43">
        <v>19</v>
      </c>
      <c r="B31" s="28" t="s">
        <v>96</v>
      </c>
      <c r="C31" s="29" t="s">
        <v>149</v>
      </c>
      <c r="D31" s="32">
        <f>SUM(D26:D30)</f>
        <v>0</v>
      </c>
    </row>
    <row r="32" spans="1:4" x14ac:dyDescent="0.25">
      <c r="A32" s="59">
        <v>20</v>
      </c>
      <c r="B32" s="6" t="s">
        <v>69</v>
      </c>
      <c r="C32" s="23" t="s">
        <v>150</v>
      </c>
      <c r="D32" s="30"/>
    </row>
    <row r="33" spans="1:4" x14ac:dyDescent="0.25">
      <c r="A33" s="59">
        <v>21</v>
      </c>
      <c r="B33" s="6" t="s">
        <v>70</v>
      </c>
      <c r="C33" s="23" t="s">
        <v>151</v>
      </c>
      <c r="D33" s="30"/>
    </row>
    <row r="34" spans="1:4" x14ac:dyDescent="0.25">
      <c r="A34" s="59">
        <v>22</v>
      </c>
      <c r="B34" s="6" t="s">
        <v>71</v>
      </c>
      <c r="C34" s="23" t="s">
        <v>152</v>
      </c>
      <c r="D34" s="30"/>
    </row>
    <row r="35" spans="1:4" ht="28.5" x14ac:dyDescent="0.25">
      <c r="A35" s="59">
        <v>23</v>
      </c>
      <c r="B35" s="6" t="s">
        <v>72</v>
      </c>
      <c r="C35" s="23" t="s">
        <v>153</v>
      </c>
      <c r="D35" s="30"/>
    </row>
    <row r="36" spans="1:4" x14ac:dyDescent="0.25">
      <c r="A36" s="43">
        <v>24</v>
      </c>
      <c r="B36" s="28" t="s">
        <v>97</v>
      </c>
      <c r="C36" s="29" t="s">
        <v>154</v>
      </c>
      <c r="D36" s="32">
        <f>SUM(D32:D35)</f>
        <v>0</v>
      </c>
    </row>
    <row r="37" spans="1:4" ht="32.25" thickBot="1" x14ac:dyDescent="0.3">
      <c r="A37" s="44">
        <v>25</v>
      </c>
      <c r="B37" s="45" t="s">
        <v>73</v>
      </c>
      <c r="C37" s="45" t="s">
        <v>155</v>
      </c>
      <c r="D37" s="46">
        <f>D31+D36</f>
        <v>0</v>
      </c>
    </row>
    <row r="38" spans="1:4" ht="18.75" thickBot="1" x14ac:dyDescent="0.3">
      <c r="A38" s="60">
        <v>26</v>
      </c>
      <c r="B38" s="47" t="s">
        <v>162</v>
      </c>
      <c r="C38" s="47" t="s">
        <v>163</v>
      </c>
      <c r="D38" s="48">
        <f>D25+D37</f>
        <v>36830</v>
      </c>
    </row>
  </sheetData>
  <mergeCells count="2">
    <mergeCell ref="A4:C4"/>
    <mergeCell ref="A11:C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K33"/>
  <sheetViews>
    <sheetView topLeftCell="A19" zoomScale="160" zoomScaleNormal="160" workbookViewId="0">
      <selection activeCell="D25" sqref="D25"/>
    </sheetView>
  </sheetViews>
  <sheetFormatPr defaultRowHeight="15" x14ac:dyDescent="0.25"/>
  <cols>
    <col min="1" max="1" width="6.85546875" customWidth="1"/>
    <col min="2" max="2" width="44.85546875" customWidth="1"/>
    <col min="4" max="4" width="20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75" x14ac:dyDescent="0.25">
      <c r="A4" s="179" t="s">
        <v>175</v>
      </c>
      <c r="B4" s="179"/>
      <c r="C4" s="179"/>
      <c r="D4" s="21" t="s">
        <v>176</v>
      </c>
    </row>
    <row r="5" spans="1:11" ht="30" x14ac:dyDescent="0.25">
      <c r="A5" s="10" t="s">
        <v>14</v>
      </c>
      <c r="B5" s="20" t="s">
        <v>74</v>
      </c>
      <c r="C5" s="20" t="s">
        <v>0</v>
      </c>
      <c r="D5" s="13" t="s">
        <v>177</v>
      </c>
    </row>
    <row r="6" spans="1:11" x14ac:dyDescent="0.25">
      <c r="A6" s="54">
        <v>1</v>
      </c>
      <c r="B6" s="1" t="s">
        <v>39</v>
      </c>
      <c r="C6" s="23" t="s">
        <v>115</v>
      </c>
      <c r="D6" s="30">
        <f>SUM(D7:D7)</f>
        <v>80000</v>
      </c>
    </row>
    <row r="7" spans="1:11" x14ac:dyDescent="0.25">
      <c r="A7" s="58">
        <v>2</v>
      </c>
      <c r="B7" s="4" t="s">
        <v>43</v>
      </c>
      <c r="C7" s="25"/>
      <c r="D7" s="39">
        <v>80000</v>
      </c>
    </row>
    <row r="8" spans="1:11" x14ac:dyDescent="0.25">
      <c r="A8" s="55">
        <v>3</v>
      </c>
      <c r="B8" s="2" t="s">
        <v>80</v>
      </c>
      <c r="C8" s="24" t="s">
        <v>116</v>
      </c>
      <c r="D8" s="30">
        <f>+D6</f>
        <v>80000</v>
      </c>
    </row>
    <row r="9" spans="1:11" x14ac:dyDescent="0.25">
      <c r="A9" s="54">
        <v>4</v>
      </c>
      <c r="B9" s="1" t="s">
        <v>50</v>
      </c>
      <c r="C9" s="23" t="s">
        <v>120</v>
      </c>
      <c r="D9" s="30">
        <f>SUM(D10:D12)</f>
        <v>235000</v>
      </c>
    </row>
    <row r="10" spans="1:11" x14ac:dyDescent="0.25">
      <c r="A10" s="58">
        <v>5</v>
      </c>
      <c r="B10" s="4" t="s">
        <v>51</v>
      </c>
      <c r="C10" s="25"/>
      <c r="D10" s="39">
        <v>90000</v>
      </c>
    </row>
    <row r="11" spans="1:11" x14ac:dyDescent="0.25">
      <c r="A11" s="58">
        <v>6</v>
      </c>
      <c r="B11" s="4" t="s">
        <v>52</v>
      </c>
      <c r="C11" s="25"/>
      <c r="D11" s="39">
        <v>120000</v>
      </c>
    </row>
    <row r="12" spans="1:11" x14ac:dyDescent="0.25">
      <c r="A12" s="58">
        <v>7</v>
      </c>
      <c r="B12" s="4" t="s">
        <v>53</v>
      </c>
      <c r="C12" s="25"/>
      <c r="D12" s="39">
        <v>25000</v>
      </c>
    </row>
    <row r="13" spans="1:11" x14ac:dyDescent="0.25">
      <c r="A13" s="54">
        <v>8</v>
      </c>
      <c r="B13" s="1" t="s">
        <v>55</v>
      </c>
      <c r="C13" s="23" t="s">
        <v>123</v>
      </c>
      <c r="D13" s="30">
        <v>30000</v>
      </c>
    </row>
    <row r="14" spans="1:11" x14ac:dyDescent="0.25">
      <c r="A14" s="55">
        <v>9</v>
      </c>
      <c r="B14" s="2" t="s">
        <v>85</v>
      </c>
      <c r="C14" s="24" t="s">
        <v>127</v>
      </c>
      <c r="D14" s="30">
        <f>SUM(D13:D13)+D9</f>
        <v>265000</v>
      </c>
    </row>
    <row r="15" spans="1:11" ht="28.5" x14ac:dyDescent="0.25">
      <c r="A15" s="54">
        <v>10</v>
      </c>
      <c r="B15" s="1" t="s">
        <v>59</v>
      </c>
      <c r="C15" s="23" t="s">
        <v>131</v>
      </c>
      <c r="D15" s="30">
        <v>80000</v>
      </c>
    </row>
    <row r="16" spans="1:11" ht="30" x14ac:dyDescent="0.25">
      <c r="A16" s="55">
        <v>11</v>
      </c>
      <c r="B16" s="2" t="s">
        <v>88</v>
      </c>
      <c r="C16" s="24" t="s">
        <v>135</v>
      </c>
      <c r="D16" s="30">
        <f>SUM(D15:D15)</f>
        <v>80000</v>
      </c>
    </row>
    <row r="17" spans="1:4" ht="15.75" x14ac:dyDescent="0.25">
      <c r="A17" s="41">
        <v>12</v>
      </c>
      <c r="B17" s="27" t="s">
        <v>89</v>
      </c>
      <c r="C17" s="27" t="s">
        <v>136</v>
      </c>
      <c r="D17" s="31">
        <f>D16+D8+D14</f>
        <v>425000</v>
      </c>
    </row>
    <row r="18" spans="1:4" x14ac:dyDescent="0.25">
      <c r="A18" s="59">
        <v>13</v>
      </c>
      <c r="B18" s="6" t="s">
        <v>63</v>
      </c>
      <c r="C18" s="23" t="s">
        <v>141</v>
      </c>
      <c r="D18" s="30"/>
    </row>
    <row r="19" spans="1:4" x14ac:dyDescent="0.25">
      <c r="A19" s="43">
        <v>14</v>
      </c>
      <c r="B19" s="28" t="s">
        <v>94</v>
      </c>
      <c r="C19" s="29" t="s">
        <v>142</v>
      </c>
      <c r="D19" s="32">
        <f>D18</f>
        <v>0</v>
      </c>
    </row>
    <row r="20" spans="1:4" ht="31.5" x14ac:dyDescent="0.25">
      <c r="A20" s="42">
        <v>15</v>
      </c>
      <c r="B20" s="37" t="s">
        <v>64</v>
      </c>
      <c r="C20" s="37" t="s">
        <v>143</v>
      </c>
      <c r="D20" s="38">
        <f>D17+D19</f>
        <v>425000</v>
      </c>
    </row>
    <row r="21" spans="1:4" x14ac:dyDescent="0.25">
      <c r="A21" s="59">
        <v>16</v>
      </c>
      <c r="B21" s="6" t="s">
        <v>65</v>
      </c>
      <c r="C21" s="23" t="s">
        <v>144</v>
      </c>
      <c r="D21" s="30"/>
    </row>
    <row r="22" spans="1:4" x14ac:dyDescent="0.25">
      <c r="A22" s="59">
        <v>17</v>
      </c>
      <c r="B22" s="6" t="s">
        <v>95</v>
      </c>
      <c r="C22" s="23" t="s">
        <v>145</v>
      </c>
      <c r="D22" s="30"/>
    </row>
    <row r="23" spans="1:4" x14ac:dyDescent="0.25">
      <c r="A23" s="54">
        <v>18</v>
      </c>
      <c r="B23" s="1" t="s">
        <v>66</v>
      </c>
      <c r="C23" s="23" t="s">
        <v>146</v>
      </c>
      <c r="D23" s="30"/>
    </row>
    <row r="24" spans="1:4" x14ac:dyDescent="0.25">
      <c r="A24" s="59">
        <v>19</v>
      </c>
      <c r="B24" s="6" t="s">
        <v>67</v>
      </c>
      <c r="C24" s="23" t="s">
        <v>147</v>
      </c>
      <c r="D24" s="30">
        <v>300000</v>
      </c>
    </row>
    <row r="25" spans="1:4" ht="28.5" x14ac:dyDescent="0.25">
      <c r="A25" s="54">
        <v>20</v>
      </c>
      <c r="B25" s="1" t="s">
        <v>68</v>
      </c>
      <c r="C25" s="23" t="s">
        <v>148</v>
      </c>
      <c r="D25" s="30"/>
    </row>
    <row r="26" spans="1:4" x14ac:dyDescent="0.25">
      <c r="A26" s="43">
        <v>21</v>
      </c>
      <c r="B26" s="28" t="s">
        <v>96</v>
      </c>
      <c r="C26" s="29" t="s">
        <v>149</v>
      </c>
      <c r="D26" s="32">
        <f>SUM(D21:D25)</f>
        <v>300000</v>
      </c>
    </row>
    <row r="27" spans="1:4" x14ac:dyDescent="0.25">
      <c r="A27" s="59">
        <v>22</v>
      </c>
      <c r="B27" s="6" t="s">
        <v>69</v>
      </c>
      <c r="C27" s="23" t="s">
        <v>150</v>
      </c>
      <c r="D27" s="30"/>
    </row>
    <row r="28" spans="1:4" x14ac:dyDescent="0.25">
      <c r="A28" s="59">
        <v>23</v>
      </c>
      <c r="B28" s="6" t="s">
        <v>70</v>
      </c>
      <c r="C28" s="23" t="s">
        <v>151</v>
      </c>
      <c r="D28" s="30"/>
    </row>
    <row r="29" spans="1:4" x14ac:dyDescent="0.25">
      <c r="A29" s="59">
        <v>24</v>
      </c>
      <c r="B29" s="6" t="s">
        <v>71</v>
      </c>
      <c r="C29" s="23" t="s">
        <v>152</v>
      </c>
      <c r="D29" s="30"/>
    </row>
    <row r="30" spans="1:4" ht="28.5" x14ac:dyDescent="0.25">
      <c r="A30" s="59">
        <v>25</v>
      </c>
      <c r="B30" s="6" t="s">
        <v>72</v>
      </c>
      <c r="C30" s="23" t="s">
        <v>153</v>
      </c>
      <c r="D30" s="30"/>
    </row>
    <row r="31" spans="1:4" x14ac:dyDescent="0.25">
      <c r="A31" s="43">
        <v>26</v>
      </c>
      <c r="B31" s="28" t="s">
        <v>97</v>
      </c>
      <c r="C31" s="29" t="s">
        <v>154</v>
      </c>
      <c r="D31" s="32">
        <f>SUM(D27:D30)</f>
        <v>0</v>
      </c>
    </row>
    <row r="32" spans="1:4" ht="32.25" thickBot="1" x14ac:dyDescent="0.3">
      <c r="A32" s="44">
        <v>27</v>
      </c>
      <c r="B32" s="45" t="s">
        <v>73</v>
      </c>
      <c r="C32" s="45" t="s">
        <v>155</v>
      </c>
      <c r="D32" s="46">
        <f>D26+D31</f>
        <v>300000</v>
      </c>
    </row>
    <row r="33" spans="1:4" ht="18.75" thickBot="1" x14ac:dyDescent="0.3">
      <c r="A33" s="60">
        <v>28</v>
      </c>
      <c r="B33" s="47" t="s">
        <v>162</v>
      </c>
      <c r="C33" s="47" t="s">
        <v>163</v>
      </c>
      <c r="D33" s="48">
        <f>D20+D32</f>
        <v>725000</v>
      </c>
    </row>
  </sheetData>
  <mergeCells count="1">
    <mergeCell ref="A4:C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21"/>
  <sheetViews>
    <sheetView zoomScale="140" zoomScaleNormal="140" workbookViewId="0">
      <selection activeCell="A4" sqref="A4:C4"/>
    </sheetView>
  </sheetViews>
  <sheetFormatPr defaultRowHeight="15" x14ac:dyDescent="0.25"/>
  <cols>
    <col min="1" max="1" width="6.85546875" customWidth="1"/>
    <col min="2" max="2" width="48" customWidth="1"/>
    <col min="3" max="3" width="10.7109375" customWidth="1"/>
    <col min="4" max="4" width="24.28515625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45" x14ac:dyDescent="0.25">
      <c r="A4" s="179" t="s">
        <v>378</v>
      </c>
      <c r="B4" s="179"/>
      <c r="C4" s="179"/>
      <c r="D4" s="9" t="s">
        <v>244</v>
      </c>
    </row>
    <row r="5" spans="1:11" ht="30" x14ac:dyDescent="0.25">
      <c r="A5" s="50" t="s">
        <v>14</v>
      </c>
      <c r="B5" s="51" t="s">
        <v>75</v>
      </c>
      <c r="C5" s="52" t="s">
        <v>0</v>
      </c>
      <c r="D5" s="53" t="s">
        <v>243</v>
      </c>
    </row>
    <row r="6" spans="1:11" ht="28.5" x14ac:dyDescent="0.25">
      <c r="A6" s="54">
        <v>1</v>
      </c>
      <c r="B6" s="1" t="s">
        <v>383</v>
      </c>
      <c r="C6" s="1" t="s">
        <v>381</v>
      </c>
      <c r="D6" s="30">
        <f>49999984-25108606</f>
        <v>24891378</v>
      </c>
    </row>
    <row r="7" spans="1:11" ht="15.75" x14ac:dyDescent="0.25">
      <c r="A7" s="33">
        <v>2</v>
      </c>
      <c r="B7" s="34" t="s">
        <v>98</v>
      </c>
      <c r="C7" s="35"/>
      <c r="D7" s="36">
        <f>SUM(D6:D6)</f>
        <v>24891378</v>
      </c>
    </row>
    <row r="9" spans="1:11" ht="75" x14ac:dyDescent="0.25">
      <c r="A9" s="179" t="s">
        <v>74</v>
      </c>
      <c r="B9" s="179"/>
      <c r="C9" s="179"/>
      <c r="D9" s="21" t="s">
        <v>12</v>
      </c>
    </row>
    <row r="10" spans="1:11" ht="30" x14ac:dyDescent="0.25">
      <c r="A10" s="10" t="s">
        <v>14</v>
      </c>
      <c r="B10" s="20" t="s">
        <v>10</v>
      </c>
      <c r="C10" s="20" t="s">
        <v>0</v>
      </c>
      <c r="D10" s="13" t="s">
        <v>11</v>
      </c>
    </row>
    <row r="11" spans="1:11" x14ac:dyDescent="0.25">
      <c r="A11" s="105">
        <v>1</v>
      </c>
      <c r="B11" s="106" t="s">
        <v>28</v>
      </c>
      <c r="C11" s="106" t="s">
        <v>101</v>
      </c>
      <c r="D11" s="30"/>
    </row>
    <row r="12" spans="1:11" x14ac:dyDescent="0.25">
      <c r="A12" s="43">
        <v>2</v>
      </c>
      <c r="B12" s="28" t="s">
        <v>78</v>
      </c>
      <c r="C12" s="29" t="s">
        <v>108</v>
      </c>
      <c r="D12" s="32">
        <f>D11</f>
        <v>0</v>
      </c>
    </row>
    <row r="13" spans="1:11" x14ac:dyDescent="0.25">
      <c r="A13" s="105">
        <v>3</v>
      </c>
      <c r="B13" s="106" t="s">
        <v>349</v>
      </c>
      <c r="C13" s="23" t="s">
        <v>125</v>
      </c>
      <c r="D13" s="30"/>
    </row>
    <row r="14" spans="1:11" x14ac:dyDescent="0.25">
      <c r="A14" s="105">
        <v>4</v>
      </c>
      <c r="B14" s="106" t="s">
        <v>350</v>
      </c>
      <c r="C14" s="106" t="s">
        <v>131</v>
      </c>
      <c r="D14" s="30"/>
    </row>
    <row r="15" spans="1:11" x14ac:dyDescent="0.25">
      <c r="A15" s="43">
        <v>5</v>
      </c>
      <c r="B15" s="28" t="s">
        <v>89</v>
      </c>
      <c r="C15" s="29" t="s">
        <v>136</v>
      </c>
      <c r="D15" s="32">
        <f>D13+D14</f>
        <v>0</v>
      </c>
    </row>
    <row r="16" spans="1:11" ht="15.75" x14ac:dyDescent="0.25">
      <c r="A16" s="44">
        <v>6</v>
      </c>
      <c r="B16" s="45" t="s">
        <v>64</v>
      </c>
      <c r="C16" s="45" t="s">
        <v>379</v>
      </c>
      <c r="D16" s="46">
        <f>D12+D15</f>
        <v>0</v>
      </c>
    </row>
    <row r="17" spans="1:4" x14ac:dyDescent="0.25">
      <c r="A17" s="59">
        <v>7</v>
      </c>
      <c r="B17" s="6" t="s">
        <v>69</v>
      </c>
      <c r="C17" s="23" t="s">
        <v>150</v>
      </c>
      <c r="D17" s="30">
        <f>(60893125-630000-317500-90090-3900-92877-25250996-6817769)/1.27</f>
        <v>21803144.094488189</v>
      </c>
    </row>
    <row r="18" spans="1:4" ht="28.5" x14ac:dyDescent="0.25">
      <c r="A18" s="54">
        <v>8</v>
      </c>
      <c r="B18" s="1" t="s">
        <v>72</v>
      </c>
      <c r="C18" s="23" t="s">
        <v>153</v>
      </c>
      <c r="D18" s="30">
        <f>D17*0.27</f>
        <v>5886848.9055118114</v>
      </c>
    </row>
    <row r="19" spans="1:4" x14ac:dyDescent="0.25">
      <c r="A19" s="43">
        <v>9</v>
      </c>
      <c r="B19" s="28" t="s">
        <v>96</v>
      </c>
      <c r="C19" s="29" t="s">
        <v>149</v>
      </c>
      <c r="D19" s="32">
        <f>SUM(D17:D18)</f>
        <v>27689993</v>
      </c>
    </row>
    <row r="20" spans="1:4" ht="32.25" thickBot="1" x14ac:dyDescent="0.3">
      <c r="A20" s="44">
        <v>10</v>
      </c>
      <c r="B20" s="45" t="s">
        <v>73</v>
      </c>
      <c r="C20" s="45" t="s">
        <v>155</v>
      </c>
      <c r="D20" s="46">
        <f>D19</f>
        <v>27689993</v>
      </c>
    </row>
    <row r="21" spans="1:4" ht="18.75" thickBot="1" x14ac:dyDescent="0.3">
      <c r="A21" s="60">
        <v>11</v>
      </c>
      <c r="B21" s="47" t="s">
        <v>162</v>
      </c>
      <c r="C21" s="47" t="s">
        <v>163</v>
      </c>
      <c r="D21" s="48">
        <f>D20+D16</f>
        <v>27689993</v>
      </c>
    </row>
  </sheetData>
  <mergeCells count="2">
    <mergeCell ref="A4:C4"/>
    <mergeCell ref="A9:C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K21"/>
  <sheetViews>
    <sheetView zoomScale="140" zoomScaleNormal="140" workbookViewId="0">
      <selection activeCell="C2" sqref="B2:K2"/>
    </sheetView>
  </sheetViews>
  <sheetFormatPr defaultRowHeight="15" x14ac:dyDescent="0.25"/>
  <cols>
    <col min="1" max="1" width="6.85546875" customWidth="1"/>
    <col min="2" max="2" width="48" customWidth="1"/>
    <col min="3" max="3" width="10.7109375" customWidth="1"/>
    <col min="4" max="4" width="24.28515625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45" x14ac:dyDescent="0.25">
      <c r="A4" s="179" t="s">
        <v>410</v>
      </c>
      <c r="B4" s="179"/>
      <c r="C4" s="179"/>
      <c r="D4" s="9" t="s">
        <v>244</v>
      </c>
    </row>
    <row r="5" spans="1:11" ht="30" x14ac:dyDescent="0.25">
      <c r="A5" s="50" t="s">
        <v>14</v>
      </c>
      <c r="B5" s="51" t="s">
        <v>75</v>
      </c>
      <c r="C5" s="52" t="s">
        <v>0</v>
      </c>
      <c r="D5" s="53" t="s">
        <v>243</v>
      </c>
    </row>
    <row r="6" spans="1:11" ht="28.5" x14ac:dyDescent="0.25">
      <c r="A6" s="54">
        <v>1</v>
      </c>
      <c r="B6" s="1" t="s">
        <v>383</v>
      </c>
      <c r="C6" s="1" t="s">
        <v>381</v>
      </c>
      <c r="D6" s="30">
        <v>4893000</v>
      </c>
    </row>
    <row r="7" spans="1:11" ht="15.75" x14ac:dyDescent="0.25">
      <c r="A7" s="33">
        <v>2</v>
      </c>
      <c r="B7" s="34" t="s">
        <v>98</v>
      </c>
      <c r="C7" s="35"/>
      <c r="D7" s="36">
        <f>SUM(D6:D6)</f>
        <v>4893000</v>
      </c>
    </row>
    <row r="8" spans="1:11" ht="15.75" thickBot="1" x14ac:dyDescent="0.3"/>
    <row r="9" spans="1:11" ht="60.75" thickBot="1" x14ac:dyDescent="0.3">
      <c r="A9" s="179" t="s">
        <v>74</v>
      </c>
      <c r="B9" s="179"/>
      <c r="C9" s="179"/>
      <c r="D9" s="133" t="s">
        <v>18</v>
      </c>
    </row>
    <row r="10" spans="1:11" ht="30.75" thickBot="1" x14ac:dyDescent="0.3">
      <c r="A10" s="10" t="s">
        <v>14</v>
      </c>
      <c r="B10" s="20" t="s">
        <v>10</v>
      </c>
      <c r="C10" s="20" t="s">
        <v>0</v>
      </c>
      <c r="D10" s="134" t="s">
        <v>17</v>
      </c>
    </row>
    <row r="11" spans="1:11" x14ac:dyDescent="0.25">
      <c r="A11" s="105">
        <v>1</v>
      </c>
      <c r="B11" s="106" t="s">
        <v>28</v>
      </c>
      <c r="C11" s="106" t="s">
        <v>101</v>
      </c>
      <c r="D11" s="30"/>
    </row>
    <row r="12" spans="1:11" x14ac:dyDescent="0.25">
      <c r="A12" s="43">
        <v>2</v>
      </c>
      <c r="B12" s="28" t="s">
        <v>78</v>
      </c>
      <c r="C12" s="29" t="s">
        <v>108</v>
      </c>
      <c r="D12" s="32">
        <f>D11</f>
        <v>0</v>
      </c>
    </row>
    <row r="13" spans="1:11" x14ac:dyDescent="0.25">
      <c r="A13" s="105">
        <v>3</v>
      </c>
      <c r="B13" s="106" t="s">
        <v>349</v>
      </c>
      <c r="C13" s="23" t="s">
        <v>125</v>
      </c>
      <c r="D13" s="30"/>
    </row>
    <row r="14" spans="1:11" x14ac:dyDescent="0.25">
      <c r="A14" s="105">
        <v>4</v>
      </c>
      <c r="B14" s="106" t="s">
        <v>350</v>
      </c>
      <c r="C14" s="106" t="s">
        <v>131</v>
      </c>
      <c r="D14" s="30"/>
    </row>
    <row r="15" spans="1:11" x14ac:dyDescent="0.25">
      <c r="A15" s="43">
        <v>5</v>
      </c>
      <c r="B15" s="28" t="s">
        <v>89</v>
      </c>
      <c r="C15" s="29" t="s">
        <v>136</v>
      </c>
      <c r="D15" s="32">
        <f>D13+D14</f>
        <v>0</v>
      </c>
    </row>
    <row r="16" spans="1:11" ht="15.75" x14ac:dyDescent="0.25">
      <c r="A16" s="44">
        <v>6</v>
      </c>
      <c r="B16" s="45" t="s">
        <v>64</v>
      </c>
      <c r="C16" s="45" t="s">
        <v>379</v>
      </c>
      <c r="D16" s="46">
        <f>D12+D15</f>
        <v>0</v>
      </c>
    </row>
    <row r="17" spans="1:4" x14ac:dyDescent="0.25">
      <c r="A17" s="59">
        <v>7</v>
      </c>
      <c r="B17" s="6" t="s">
        <v>69</v>
      </c>
      <c r="C17" s="23" t="s">
        <v>150</v>
      </c>
      <c r="D17" s="30">
        <f>6990080/1.27</f>
        <v>5504000</v>
      </c>
    </row>
    <row r="18" spans="1:4" ht="28.5" x14ac:dyDescent="0.25">
      <c r="A18" s="54">
        <v>8</v>
      </c>
      <c r="B18" s="1" t="s">
        <v>72</v>
      </c>
      <c r="C18" s="23" t="s">
        <v>153</v>
      </c>
      <c r="D18" s="30">
        <f>D17*0.27</f>
        <v>1486080</v>
      </c>
    </row>
    <row r="19" spans="1:4" x14ac:dyDescent="0.25">
      <c r="A19" s="43">
        <v>9</v>
      </c>
      <c r="B19" s="28" t="s">
        <v>96</v>
      </c>
      <c r="C19" s="29" t="s">
        <v>149</v>
      </c>
      <c r="D19" s="32">
        <f>SUM(D17:D18)</f>
        <v>6990080</v>
      </c>
    </row>
    <row r="20" spans="1:4" ht="32.25" thickBot="1" x14ac:dyDescent="0.3">
      <c r="A20" s="44">
        <v>10</v>
      </c>
      <c r="B20" s="45" t="s">
        <v>73</v>
      </c>
      <c r="C20" s="45" t="s">
        <v>155</v>
      </c>
      <c r="D20" s="46">
        <f>D19</f>
        <v>6990080</v>
      </c>
    </row>
    <row r="21" spans="1:4" ht="18.75" thickBot="1" x14ac:dyDescent="0.3">
      <c r="A21" s="60">
        <v>11</v>
      </c>
      <c r="B21" s="47" t="s">
        <v>162</v>
      </c>
      <c r="C21" s="47" t="s">
        <v>163</v>
      </c>
      <c r="D21" s="48">
        <f>D20+D16</f>
        <v>6990080</v>
      </c>
    </row>
  </sheetData>
  <mergeCells count="2">
    <mergeCell ref="A4:C4"/>
    <mergeCell ref="A9:C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C71A-BC15-48EB-9EB8-DBA7E807CA0E}">
  <dimension ref="A2:K21"/>
  <sheetViews>
    <sheetView workbookViewId="0">
      <selection activeCell="E30" sqref="E30"/>
    </sheetView>
  </sheetViews>
  <sheetFormatPr defaultRowHeight="15" x14ac:dyDescent="0.25"/>
  <cols>
    <col min="1" max="1" width="6.85546875" customWidth="1"/>
    <col min="2" max="2" width="48" customWidth="1"/>
    <col min="3" max="3" width="10.7109375" customWidth="1"/>
    <col min="4" max="4" width="24.28515625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45" customHeight="1" x14ac:dyDescent="0.25">
      <c r="A4" s="180" t="s">
        <v>411</v>
      </c>
      <c r="B4" s="181"/>
      <c r="C4" s="182"/>
      <c r="D4" s="9" t="s">
        <v>244</v>
      </c>
    </row>
    <row r="5" spans="1:11" ht="30" x14ac:dyDescent="0.25">
      <c r="A5" s="50" t="s">
        <v>14</v>
      </c>
      <c r="B5" s="51" t="s">
        <v>75</v>
      </c>
      <c r="C5" s="52" t="s">
        <v>0</v>
      </c>
      <c r="D5" s="53" t="s">
        <v>243</v>
      </c>
    </row>
    <row r="6" spans="1:11" ht="28.5" x14ac:dyDescent="0.25">
      <c r="A6" s="54">
        <v>1</v>
      </c>
      <c r="B6" s="1" t="s">
        <v>383</v>
      </c>
      <c r="C6" s="1" t="s">
        <v>381</v>
      </c>
      <c r="D6" s="30">
        <v>7000000</v>
      </c>
    </row>
    <row r="7" spans="1:11" ht="15.75" x14ac:dyDescent="0.25">
      <c r="A7" s="33">
        <v>2</v>
      </c>
      <c r="B7" s="34" t="s">
        <v>98</v>
      </c>
      <c r="C7" s="35"/>
      <c r="D7" s="36">
        <f>SUM(D6:D6)</f>
        <v>7000000</v>
      </c>
    </row>
    <row r="8" spans="1:11" ht="15.75" thickBot="1" x14ac:dyDescent="0.3"/>
    <row r="9" spans="1:11" ht="60.75" customHeight="1" thickBot="1" x14ac:dyDescent="0.3">
      <c r="A9" s="180" t="s">
        <v>74</v>
      </c>
      <c r="B9" s="181"/>
      <c r="C9" s="183"/>
      <c r="D9" s="133" t="s">
        <v>18</v>
      </c>
    </row>
    <row r="10" spans="1:11" ht="30.75" thickBot="1" x14ac:dyDescent="0.3">
      <c r="A10" s="10" t="s">
        <v>14</v>
      </c>
      <c r="B10" s="20" t="s">
        <v>10</v>
      </c>
      <c r="C10" s="20" t="s">
        <v>0</v>
      </c>
      <c r="D10" s="134" t="s">
        <v>17</v>
      </c>
    </row>
    <row r="11" spans="1:11" x14ac:dyDescent="0.25">
      <c r="A11" s="105">
        <v>1</v>
      </c>
      <c r="B11" s="106" t="s">
        <v>28</v>
      </c>
      <c r="C11" s="106" t="s">
        <v>101</v>
      </c>
      <c r="D11" s="30"/>
    </row>
    <row r="12" spans="1:11" x14ac:dyDescent="0.25">
      <c r="A12" s="43">
        <v>2</v>
      </c>
      <c r="B12" s="28" t="s">
        <v>78</v>
      </c>
      <c r="C12" s="29" t="s">
        <v>108</v>
      </c>
      <c r="D12" s="32">
        <f>D11</f>
        <v>0</v>
      </c>
    </row>
    <row r="13" spans="1:11" x14ac:dyDescent="0.25">
      <c r="A13" s="105">
        <v>3</v>
      </c>
      <c r="B13" s="106" t="s">
        <v>349</v>
      </c>
      <c r="C13" s="23" t="s">
        <v>125</v>
      </c>
      <c r="D13" s="30"/>
    </row>
    <row r="14" spans="1:11" x14ac:dyDescent="0.25">
      <c r="A14" s="105">
        <v>4</v>
      </c>
      <c r="B14" s="106" t="s">
        <v>350</v>
      </c>
      <c r="C14" s="106" t="s">
        <v>131</v>
      </c>
      <c r="D14" s="30"/>
    </row>
    <row r="15" spans="1:11" x14ac:dyDescent="0.25">
      <c r="A15" s="43">
        <v>5</v>
      </c>
      <c r="B15" s="28" t="s">
        <v>89</v>
      </c>
      <c r="C15" s="29" t="s">
        <v>136</v>
      </c>
      <c r="D15" s="32">
        <f>D13+D14</f>
        <v>0</v>
      </c>
    </row>
    <row r="16" spans="1:11" ht="15.75" x14ac:dyDescent="0.25">
      <c r="A16" s="44">
        <v>6</v>
      </c>
      <c r="B16" s="45" t="s">
        <v>64</v>
      </c>
      <c r="C16" s="45" t="s">
        <v>379</v>
      </c>
      <c r="D16" s="46">
        <f>D12+D15</f>
        <v>0</v>
      </c>
    </row>
    <row r="17" spans="1:4" x14ac:dyDescent="0.25">
      <c r="A17" s="59">
        <v>7</v>
      </c>
      <c r="B17" s="6" t="s">
        <v>69</v>
      </c>
      <c r="C17" s="23" t="s">
        <v>150</v>
      </c>
      <c r="D17" s="30">
        <f>10000000/1.27</f>
        <v>7874015.7480314961</v>
      </c>
    </row>
    <row r="18" spans="1:4" ht="28.5" x14ac:dyDescent="0.25">
      <c r="A18" s="54">
        <v>8</v>
      </c>
      <c r="B18" s="1" t="s">
        <v>72</v>
      </c>
      <c r="C18" s="23" t="s">
        <v>153</v>
      </c>
      <c r="D18" s="30">
        <f>D17*0.27</f>
        <v>2125984.2519685039</v>
      </c>
    </row>
    <row r="19" spans="1:4" x14ac:dyDescent="0.25">
      <c r="A19" s="43">
        <v>9</v>
      </c>
      <c r="B19" s="28" t="s">
        <v>96</v>
      </c>
      <c r="C19" s="29" t="s">
        <v>149</v>
      </c>
      <c r="D19" s="32">
        <f>SUM(D17:D18)</f>
        <v>10000000</v>
      </c>
    </row>
    <row r="20" spans="1:4" ht="32.25" thickBot="1" x14ac:dyDescent="0.3">
      <c r="A20" s="44">
        <v>10</v>
      </c>
      <c r="B20" s="45" t="s">
        <v>73</v>
      </c>
      <c r="C20" s="45" t="s">
        <v>155</v>
      </c>
      <c r="D20" s="46">
        <f>D19</f>
        <v>10000000</v>
      </c>
    </row>
    <row r="21" spans="1:4" ht="18.75" thickBot="1" x14ac:dyDescent="0.3">
      <c r="A21" s="60">
        <v>11</v>
      </c>
      <c r="B21" s="47" t="s">
        <v>162</v>
      </c>
      <c r="C21" s="47" t="s">
        <v>163</v>
      </c>
      <c r="D21" s="48">
        <f>D20+D16</f>
        <v>10000000</v>
      </c>
    </row>
  </sheetData>
  <mergeCells count="2">
    <mergeCell ref="A4:C4"/>
    <mergeCell ref="A9:C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BF1E7-1682-4E4F-9673-48035B805E28}">
  <dimension ref="A2:K15"/>
  <sheetViews>
    <sheetView workbookViewId="0">
      <selection activeCell="D13" sqref="D13"/>
    </sheetView>
  </sheetViews>
  <sheetFormatPr defaultRowHeight="15" x14ac:dyDescent="0.25"/>
  <cols>
    <col min="1" max="1" width="6.85546875" customWidth="1"/>
    <col min="2" max="2" width="48" customWidth="1"/>
    <col min="3" max="3" width="10.7109375" customWidth="1"/>
    <col min="4" max="4" width="24.28515625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45" customHeight="1" x14ac:dyDescent="0.25">
      <c r="A4" s="180" t="s">
        <v>414</v>
      </c>
      <c r="B4" s="181"/>
      <c r="C4" s="182"/>
      <c r="D4" s="9" t="s">
        <v>244</v>
      </c>
    </row>
    <row r="5" spans="1:11" ht="30" x14ac:dyDescent="0.25">
      <c r="A5" s="50" t="s">
        <v>14</v>
      </c>
      <c r="B5" s="51" t="s">
        <v>75</v>
      </c>
      <c r="C5" s="52" t="s">
        <v>0</v>
      </c>
      <c r="D5" s="53" t="s">
        <v>243</v>
      </c>
    </row>
    <row r="6" spans="1:11" ht="28.5" x14ac:dyDescent="0.25">
      <c r="A6" s="54">
        <v>1</v>
      </c>
      <c r="B6" s="74" t="s">
        <v>394</v>
      </c>
      <c r="C6" s="75" t="s">
        <v>256</v>
      </c>
      <c r="D6" s="30">
        <v>2616000</v>
      </c>
    </row>
    <row r="7" spans="1:11" ht="15.75" x14ac:dyDescent="0.25">
      <c r="A7" s="33">
        <v>2</v>
      </c>
      <c r="B7" s="34" t="s">
        <v>98</v>
      </c>
      <c r="C7" s="35"/>
      <c r="D7" s="36">
        <f>SUM(D6:D6)</f>
        <v>2616000</v>
      </c>
    </row>
    <row r="9" spans="1:11" ht="60.75" customHeight="1" x14ac:dyDescent="0.25">
      <c r="A9" s="180" t="s">
        <v>74</v>
      </c>
      <c r="B9" s="181"/>
      <c r="C9" s="183"/>
      <c r="D9" s="19" t="s">
        <v>198</v>
      </c>
    </row>
    <row r="10" spans="1:11" ht="30" x14ac:dyDescent="0.25">
      <c r="A10" s="10" t="s">
        <v>14</v>
      </c>
      <c r="B10" s="20" t="s">
        <v>10</v>
      </c>
      <c r="C10" s="20" t="s">
        <v>0</v>
      </c>
      <c r="D10" s="135">
        <v>107060</v>
      </c>
    </row>
    <row r="11" spans="1:11" x14ac:dyDescent="0.25">
      <c r="A11" s="105">
        <v>1</v>
      </c>
      <c r="B11" s="1" t="s">
        <v>39</v>
      </c>
      <c r="C11" s="23" t="s">
        <v>115</v>
      </c>
      <c r="D11" s="30">
        <f>2616000/1.27</f>
        <v>2059842.5196850393</v>
      </c>
    </row>
    <row r="12" spans="1:11" x14ac:dyDescent="0.25">
      <c r="A12" s="105">
        <v>2</v>
      </c>
      <c r="B12" s="1" t="s">
        <v>415</v>
      </c>
      <c r="C12" s="23" t="s">
        <v>134</v>
      </c>
      <c r="D12" s="30">
        <f>D11*0.27</f>
        <v>556157.4803149607</v>
      </c>
    </row>
    <row r="13" spans="1:11" x14ac:dyDescent="0.25">
      <c r="A13" s="43">
        <v>3</v>
      </c>
      <c r="B13" s="28" t="s">
        <v>89</v>
      </c>
      <c r="C13" s="29" t="s">
        <v>136</v>
      </c>
      <c r="D13" s="32">
        <f>D11+D12</f>
        <v>2616000</v>
      </c>
    </row>
    <row r="14" spans="1:11" ht="16.5" thickBot="1" x14ac:dyDescent="0.3">
      <c r="A14" s="44">
        <v>4</v>
      </c>
      <c r="B14" s="45" t="s">
        <v>64</v>
      </c>
      <c r="C14" s="45" t="s">
        <v>379</v>
      </c>
      <c r="D14" s="46">
        <f>D13</f>
        <v>2616000</v>
      </c>
    </row>
    <row r="15" spans="1:11" ht="18.75" thickBot="1" x14ac:dyDescent="0.3">
      <c r="A15" s="60">
        <v>5</v>
      </c>
      <c r="B15" s="47" t="s">
        <v>162</v>
      </c>
      <c r="C15" s="47" t="s">
        <v>163</v>
      </c>
      <c r="D15" s="48">
        <f>+D14</f>
        <v>2616000</v>
      </c>
    </row>
  </sheetData>
  <mergeCells count="2">
    <mergeCell ref="A4:C4"/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"/>
  <sheetViews>
    <sheetView topLeftCell="A16" zoomScale="110" zoomScaleNormal="110" workbookViewId="0">
      <selection activeCell="A3" sqref="A3"/>
    </sheetView>
  </sheetViews>
  <sheetFormatPr defaultRowHeight="15" x14ac:dyDescent="0.25"/>
  <cols>
    <col min="1" max="1" width="6.85546875" customWidth="1"/>
    <col min="2" max="2" width="67.5703125" bestFit="1" customWidth="1"/>
    <col min="4" max="5" width="18.85546875" customWidth="1"/>
    <col min="6" max="6" width="15.5703125" customWidth="1"/>
    <col min="7" max="7" width="14" customWidth="1"/>
    <col min="8" max="8" width="14.28515625" customWidth="1"/>
    <col min="9" max="9" width="14.140625" customWidth="1"/>
    <col min="10" max="10" width="14" customWidth="1"/>
    <col min="11" max="11" width="12.140625" customWidth="1"/>
  </cols>
  <sheetData>
    <row r="1" spans="1:11" x14ac:dyDescent="0.25">
      <c r="A1" s="40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0.25" x14ac:dyDescent="0.3">
      <c r="A2" s="178" t="s">
        <v>413</v>
      </c>
      <c r="B2" s="178"/>
      <c r="C2" s="178"/>
      <c r="D2" s="178"/>
      <c r="E2" s="178"/>
      <c r="F2" s="178"/>
      <c r="G2" s="67"/>
      <c r="H2" s="67"/>
      <c r="I2" s="67"/>
      <c r="J2" s="67"/>
      <c r="K2" s="67"/>
    </row>
    <row r="3" spans="1:11" x14ac:dyDescent="0.25">
      <c r="A3" s="4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90" x14ac:dyDescent="0.25">
      <c r="A4" s="179" t="s">
        <v>201</v>
      </c>
      <c r="B4" s="179"/>
      <c r="C4" s="179"/>
      <c r="D4" s="19" t="s">
        <v>202</v>
      </c>
      <c r="E4" s="163"/>
      <c r="G4" s="8"/>
      <c r="H4" s="8"/>
      <c r="I4" s="8"/>
      <c r="J4" s="8"/>
      <c r="K4" s="8"/>
    </row>
    <row r="5" spans="1:11" ht="45" x14ac:dyDescent="0.25">
      <c r="A5" s="10" t="s">
        <v>14</v>
      </c>
      <c r="B5" s="11" t="s">
        <v>75</v>
      </c>
      <c r="C5" s="12" t="s">
        <v>0</v>
      </c>
      <c r="D5" s="13">
        <v>900020</v>
      </c>
      <c r="E5" s="19" t="s">
        <v>412</v>
      </c>
      <c r="F5" s="19" t="s">
        <v>359</v>
      </c>
      <c r="G5" s="8"/>
      <c r="H5" s="8"/>
      <c r="I5" s="8"/>
      <c r="J5" s="8"/>
      <c r="K5" s="8"/>
    </row>
    <row r="6" spans="1:11" x14ac:dyDescent="0.25">
      <c r="A6" s="14">
        <v>2</v>
      </c>
      <c r="B6" s="15" t="s">
        <v>203</v>
      </c>
      <c r="C6" s="16" t="s">
        <v>204</v>
      </c>
      <c r="D6" s="17">
        <f t="shared" ref="D6:D17" si="0">E6+F6</f>
        <v>7472</v>
      </c>
      <c r="E6" s="17"/>
      <c r="F6" s="17">
        <v>7472</v>
      </c>
      <c r="G6" s="103"/>
      <c r="H6" s="8"/>
      <c r="I6" s="8"/>
      <c r="J6" s="8"/>
      <c r="K6" s="8"/>
    </row>
    <row r="7" spans="1:11" x14ac:dyDescent="0.25">
      <c r="A7" s="14">
        <v>3</v>
      </c>
      <c r="B7" s="15" t="s">
        <v>205</v>
      </c>
      <c r="C7" s="16" t="s">
        <v>214</v>
      </c>
      <c r="D7" s="17">
        <f t="shared" si="0"/>
        <v>3064536</v>
      </c>
      <c r="E7" s="17">
        <v>364536</v>
      </c>
      <c r="F7" s="17">
        <f>3000000*0.9</f>
        <v>2700000</v>
      </c>
      <c r="G7" s="103"/>
      <c r="H7" s="8"/>
      <c r="I7" s="8"/>
      <c r="J7" s="8"/>
      <c r="K7" s="8"/>
    </row>
    <row r="8" spans="1:11" x14ac:dyDescent="0.25">
      <c r="A8" s="14">
        <v>4</v>
      </c>
      <c r="B8" s="15" t="s">
        <v>206</v>
      </c>
      <c r="C8" s="16" t="s">
        <v>215</v>
      </c>
      <c r="D8" s="17">
        <f t="shared" si="0"/>
        <v>3559584</v>
      </c>
      <c r="E8" s="17">
        <v>692584</v>
      </c>
      <c r="F8" s="17">
        <f>3185000*0.9+500</f>
        <v>2867000</v>
      </c>
      <c r="G8" s="103"/>
      <c r="H8" s="8"/>
      <c r="I8" s="8"/>
      <c r="J8" s="8"/>
      <c r="K8" s="8"/>
    </row>
    <row r="9" spans="1:11" x14ac:dyDescent="0.25">
      <c r="A9" s="14">
        <v>8</v>
      </c>
      <c r="B9" s="15" t="s">
        <v>389</v>
      </c>
      <c r="C9" s="16" t="s">
        <v>277</v>
      </c>
      <c r="D9" s="17">
        <f>E9+F9</f>
        <v>0</v>
      </c>
      <c r="E9" s="17"/>
      <c r="F9" s="17">
        <v>0</v>
      </c>
      <c r="G9" s="103"/>
      <c r="H9" s="8"/>
      <c r="I9" s="8"/>
      <c r="J9" s="8"/>
      <c r="K9" s="8"/>
    </row>
    <row r="10" spans="1:11" x14ac:dyDescent="0.25">
      <c r="A10" s="14">
        <v>5</v>
      </c>
      <c r="B10" s="15" t="s">
        <v>207</v>
      </c>
      <c r="C10" s="16" t="s">
        <v>223</v>
      </c>
      <c r="D10" s="17">
        <f t="shared" si="0"/>
        <v>31923565</v>
      </c>
      <c r="E10" s="17">
        <f>16488507-14564942</f>
        <v>1923565</v>
      </c>
      <c r="F10" s="17">
        <v>30000000</v>
      </c>
      <c r="G10" s="103"/>
      <c r="H10" s="8"/>
      <c r="I10" s="8"/>
      <c r="J10" s="8"/>
      <c r="K10" s="8"/>
    </row>
    <row r="11" spans="1:11" x14ac:dyDescent="0.25">
      <c r="A11" s="14">
        <v>6</v>
      </c>
      <c r="B11" s="15" t="s">
        <v>208</v>
      </c>
      <c r="C11" s="16" t="s">
        <v>216</v>
      </c>
      <c r="D11" s="17">
        <f t="shared" si="0"/>
        <v>4272646</v>
      </c>
      <c r="E11" s="17">
        <v>888646</v>
      </c>
      <c r="F11" s="17">
        <f>8460000*0.4</f>
        <v>3384000</v>
      </c>
      <c r="G11" s="103"/>
      <c r="H11" s="8"/>
      <c r="I11" s="8"/>
      <c r="J11" s="8"/>
      <c r="K11" s="8"/>
    </row>
    <row r="12" spans="1:11" x14ac:dyDescent="0.25">
      <c r="A12" s="14">
        <v>7</v>
      </c>
      <c r="B12" s="15" t="s">
        <v>209</v>
      </c>
      <c r="C12" s="16" t="s">
        <v>217</v>
      </c>
      <c r="D12" s="17">
        <f t="shared" si="0"/>
        <v>250400</v>
      </c>
      <c r="E12" s="17">
        <v>50400</v>
      </c>
      <c r="F12" s="17">
        <v>200000</v>
      </c>
      <c r="G12" s="103"/>
      <c r="H12" s="8"/>
      <c r="I12" s="8"/>
      <c r="J12" s="8"/>
      <c r="K12" s="8"/>
    </row>
    <row r="13" spans="1:11" x14ac:dyDescent="0.25">
      <c r="A13" s="14">
        <v>10</v>
      </c>
      <c r="B13" s="15" t="s">
        <v>211</v>
      </c>
      <c r="C13" s="16" t="s">
        <v>218</v>
      </c>
      <c r="D13" s="17">
        <f t="shared" si="0"/>
        <v>0</v>
      </c>
      <c r="E13" s="17">
        <v>0</v>
      </c>
      <c r="F13" s="17">
        <v>0</v>
      </c>
      <c r="G13" s="103"/>
      <c r="H13" s="8"/>
      <c r="I13" s="8"/>
      <c r="J13" s="8"/>
      <c r="K13" s="8"/>
    </row>
    <row r="14" spans="1:11" x14ac:dyDescent="0.25">
      <c r="A14" s="14">
        <v>11</v>
      </c>
      <c r="B14" s="15" t="s">
        <v>212</v>
      </c>
      <c r="C14" s="16" t="s">
        <v>219</v>
      </c>
      <c r="D14" s="17">
        <f t="shared" si="0"/>
        <v>0</v>
      </c>
      <c r="E14" s="17">
        <v>0</v>
      </c>
      <c r="F14" s="17">
        <v>0</v>
      </c>
      <c r="G14" s="103"/>
      <c r="H14" s="8"/>
      <c r="I14" s="8"/>
      <c r="J14" s="8"/>
      <c r="K14" s="8"/>
    </row>
    <row r="15" spans="1:11" x14ac:dyDescent="0.25">
      <c r="A15" s="14">
        <v>12</v>
      </c>
      <c r="B15" s="15" t="s">
        <v>213</v>
      </c>
      <c r="C15" s="16" t="s">
        <v>220</v>
      </c>
      <c r="D15" s="17">
        <f t="shared" si="0"/>
        <v>0</v>
      </c>
      <c r="E15" s="17"/>
      <c r="F15" s="17">
        <v>0</v>
      </c>
      <c r="G15" s="103"/>
      <c r="H15" s="8"/>
      <c r="I15" s="8"/>
      <c r="J15" s="8"/>
      <c r="K15" s="8"/>
    </row>
    <row r="16" spans="1:11" x14ac:dyDescent="0.25">
      <c r="A16" s="14">
        <v>1</v>
      </c>
      <c r="B16" s="15" t="s">
        <v>210</v>
      </c>
      <c r="C16" s="16" t="s">
        <v>218</v>
      </c>
      <c r="D16" s="17">
        <f>E16+F16</f>
        <v>232672</v>
      </c>
      <c r="E16" s="17">
        <v>132672</v>
      </c>
      <c r="F16" s="17">
        <v>100000</v>
      </c>
      <c r="G16" s="103"/>
      <c r="H16" s="8"/>
      <c r="I16" s="8"/>
      <c r="J16" s="8"/>
      <c r="K16" s="8"/>
    </row>
    <row r="17" spans="1:11" x14ac:dyDescent="0.25">
      <c r="A17" s="14">
        <v>13</v>
      </c>
      <c r="B17" s="15" t="s">
        <v>229</v>
      </c>
      <c r="C17" s="16" t="s">
        <v>221</v>
      </c>
      <c r="D17" s="17">
        <f t="shared" si="0"/>
        <v>608295</v>
      </c>
      <c r="E17" s="17">
        <v>602295</v>
      </c>
      <c r="F17" s="17">
        <v>6000</v>
      </c>
      <c r="G17" s="103"/>
      <c r="H17" s="8"/>
      <c r="I17" s="8"/>
      <c r="J17" s="8"/>
      <c r="K17" s="8"/>
    </row>
    <row r="18" spans="1:11" ht="15.75" x14ac:dyDescent="0.25">
      <c r="A18" s="33">
        <v>14</v>
      </c>
      <c r="B18" s="34" t="s">
        <v>98</v>
      </c>
      <c r="C18" s="35" t="s">
        <v>222</v>
      </c>
      <c r="D18" s="36">
        <f>SUM(D6:D17)</f>
        <v>43919170</v>
      </c>
      <c r="E18" s="36">
        <f>SUM(E6:E17)</f>
        <v>4654698</v>
      </c>
      <c r="F18" s="36">
        <f>SUM(F6:F17)</f>
        <v>39264472</v>
      </c>
      <c r="G18" s="110"/>
      <c r="H18" s="18"/>
      <c r="I18" s="18"/>
      <c r="J18" s="18"/>
      <c r="K18" s="18"/>
    </row>
    <row r="19" spans="1:11" x14ac:dyDescent="0.25">
      <c r="D19" s="104"/>
      <c r="E19" s="104"/>
    </row>
  </sheetData>
  <mergeCells count="2">
    <mergeCell ref="A4:C4"/>
    <mergeCell ref="A2:F2"/>
  </mergeCells>
  <pageMargins left="0.7" right="0.7" top="0.75" bottom="0.75" header="0.3" footer="0.3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95"/>
  <sheetViews>
    <sheetView zoomScale="110" zoomScaleNormal="110" workbookViewId="0">
      <selection activeCell="H11" sqref="H11"/>
    </sheetView>
  </sheetViews>
  <sheetFormatPr defaultColWidth="9.140625" defaultRowHeight="14.25" x14ac:dyDescent="0.2"/>
  <cols>
    <col min="1" max="1" width="6.85546875" style="40" customWidth="1"/>
    <col min="2" max="2" width="52.85546875" style="8" customWidth="1"/>
    <col min="3" max="3" width="10.140625" style="8" bestFit="1" customWidth="1"/>
    <col min="4" max="4" width="20" style="8" customWidth="1"/>
    <col min="5" max="5" width="15.5703125" style="8" customWidth="1"/>
    <col min="6" max="6" width="25.5703125" style="8" bestFit="1" customWidth="1"/>
    <col min="7" max="7" width="14.28515625" style="8" customWidth="1"/>
    <col min="8" max="9" width="15.42578125" style="8" bestFit="1" customWidth="1"/>
    <col min="10" max="10" width="13.28515625" style="8" bestFit="1" customWidth="1"/>
    <col min="11" max="16384" width="9.140625" style="8"/>
  </cols>
  <sheetData>
    <row r="2" spans="1:10" ht="20.25" x14ac:dyDescent="0.3">
      <c r="B2" s="178" t="s">
        <v>413</v>
      </c>
      <c r="C2" s="178"/>
      <c r="D2" s="178"/>
      <c r="E2" s="178"/>
      <c r="F2" s="178"/>
      <c r="G2" s="178"/>
      <c r="H2" s="178"/>
      <c r="I2" s="178"/>
      <c r="J2" s="178"/>
    </row>
    <row r="4" spans="1:10" ht="60" x14ac:dyDescent="0.2">
      <c r="A4" s="179" t="s">
        <v>25</v>
      </c>
      <c r="B4" s="179"/>
      <c r="C4" s="179"/>
      <c r="D4" s="19" t="s">
        <v>13</v>
      </c>
      <c r="H4" s="19" t="s">
        <v>24</v>
      </c>
    </row>
    <row r="5" spans="1:10" ht="30" x14ac:dyDescent="0.25">
      <c r="A5" s="10" t="s">
        <v>14</v>
      </c>
      <c r="B5" s="11" t="s">
        <v>75</v>
      </c>
      <c r="C5" s="12" t="s">
        <v>0</v>
      </c>
      <c r="D5" s="13" t="s">
        <v>6</v>
      </c>
      <c r="F5" s="13" t="s">
        <v>352</v>
      </c>
      <c r="G5" s="12" t="s">
        <v>0</v>
      </c>
      <c r="H5" s="13" t="s">
        <v>23</v>
      </c>
    </row>
    <row r="6" spans="1:10" s="155" customFormat="1" ht="28.5" x14ac:dyDescent="0.25">
      <c r="A6" s="147">
        <v>1</v>
      </c>
      <c r="B6" s="106" t="s">
        <v>2</v>
      </c>
      <c r="C6" s="108" t="s">
        <v>8</v>
      </c>
      <c r="D6" s="107">
        <v>6096820</v>
      </c>
      <c r="F6" s="109" t="s">
        <v>372</v>
      </c>
      <c r="G6" s="106" t="s">
        <v>282</v>
      </c>
      <c r="H6" s="107">
        <f>291708+301502</f>
        <v>593210</v>
      </c>
    </row>
    <row r="7" spans="1:10" x14ac:dyDescent="0.2">
      <c r="A7" s="99">
        <v>2</v>
      </c>
      <c r="B7" s="15" t="s">
        <v>1</v>
      </c>
      <c r="C7" s="16" t="s">
        <v>8</v>
      </c>
      <c r="D7" s="17">
        <v>6560000</v>
      </c>
      <c r="F7" s="15" t="s">
        <v>353</v>
      </c>
      <c r="G7" s="15" t="s">
        <v>282</v>
      </c>
      <c r="H7" s="17">
        <v>1036410</v>
      </c>
    </row>
    <row r="8" spans="1:10" x14ac:dyDescent="0.2">
      <c r="A8" s="99"/>
      <c r="B8" s="15" t="s">
        <v>392</v>
      </c>
      <c r="C8" s="16" t="s">
        <v>8</v>
      </c>
      <c r="D8" s="17">
        <v>136936</v>
      </c>
      <c r="E8" s="103"/>
      <c r="F8" s="15" t="s">
        <v>354</v>
      </c>
      <c r="G8" s="15" t="s">
        <v>282</v>
      </c>
      <c r="H8" s="17">
        <v>166000</v>
      </c>
    </row>
    <row r="9" spans="1:10" x14ac:dyDescent="0.2">
      <c r="A9" s="99">
        <v>3</v>
      </c>
      <c r="B9" s="15" t="s">
        <v>3</v>
      </c>
      <c r="C9" s="16" t="s">
        <v>8</v>
      </c>
      <c r="D9" s="17">
        <v>5586470</v>
      </c>
      <c r="F9" s="15" t="s">
        <v>356</v>
      </c>
      <c r="G9" s="15" t="s">
        <v>395</v>
      </c>
      <c r="H9" s="17">
        <v>202800</v>
      </c>
    </row>
    <row r="10" spans="1:10" ht="28.5" x14ac:dyDescent="0.2">
      <c r="A10" s="147">
        <v>4</v>
      </c>
      <c r="B10" s="106" t="s">
        <v>4</v>
      </c>
      <c r="C10" s="108" t="s">
        <v>8</v>
      </c>
      <c r="D10" s="107">
        <v>6000000</v>
      </c>
      <c r="F10" s="109" t="s">
        <v>358</v>
      </c>
      <c r="G10" s="106" t="s">
        <v>283</v>
      </c>
      <c r="H10" s="107">
        <v>600000</v>
      </c>
    </row>
    <row r="11" spans="1:10" x14ac:dyDescent="0.2">
      <c r="A11" s="147">
        <v>5</v>
      </c>
      <c r="B11" s="106" t="s">
        <v>7</v>
      </c>
      <c r="C11" s="108" t="s">
        <v>8</v>
      </c>
      <c r="D11" s="107">
        <v>85200</v>
      </c>
      <c r="F11" s="15" t="s">
        <v>355</v>
      </c>
      <c r="G11" s="15" t="s">
        <v>357</v>
      </c>
      <c r="H11" s="17">
        <f>22385*12*4</f>
        <v>1074480</v>
      </c>
    </row>
    <row r="12" spans="1:10" x14ac:dyDescent="0.2">
      <c r="A12" s="99">
        <v>6</v>
      </c>
      <c r="B12" s="15" t="s">
        <v>5</v>
      </c>
      <c r="C12" s="16" t="s">
        <v>8</v>
      </c>
      <c r="D12" s="17">
        <v>0</v>
      </c>
      <c r="F12" s="15" t="s">
        <v>375</v>
      </c>
      <c r="G12" s="15" t="s">
        <v>290</v>
      </c>
      <c r="H12" s="17">
        <v>20000</v>
      </c>
    </row>
    <row r="13" spans="1:10" s="18" customFormat="1" ht="15" x14ac:dyDescent="0.25">
      <c r="A13" s="99">
        <v>7</v>
      </c>
      <c r="B13" s="15" t="s">
        <v>369</v>
      </c>
      <c r="C13" s="16" t="s">
        <v>8</v>
      </c>
      <c r="D13" s="17">
        <v>131000</v>
      </c>
      <c r="F13" s="15" t="s">
        <v>406</v>
      </c>
      <c r="G13" s="15" t="s">
        <v>395</v>
      </c>
      <c r="H13" s="17">
        <v>284695</v>
      </c>
    </row>
    <row r="14" spans="1:10" ht="15.75" x14ac:dyDescent="0.25">
      <c r="A14" s="33">
        <v>8</v>
      </c>
      <c r="B14" s="34" t="s">
        <v>98</v>
      </c>
      <c r="C14" s="35" t="s">
        <v>8</v>
      </c>
      <c r="D14" s="36">
        <f>SUM(D6:D13)</f>
        <v>24596426</v>
      </c>
      <c r="F14" s="15" t="s">
        <v>396</v>
      </c>
      <c r="G14" s="15" t="s">
        <v>282</v>
      </c>
      <c r="H14" s="17">
        <v>125000</v>
      </c>
    </row>
    <row r="15" spans="1:10" ht="15.75" x14ac:dyDescent="0.25">
      <c r="A15" s="159"/>
      <c r="B15" s="160"/>
      <c r="C15" s="161"/>
      <c r="D15" s="162"/>
      <c r="F15" s="15" t="s">
        <v>397</v>
      </c>
      <c r="G15" s="15" t="s">
        <v>282</v>
      </c>
      <c r="H15" s="17">
        <v>60000</v>
      </c>
    </row>
    <row r="16" spans="1:10" ht="15.75" x14ac:dyDescent="0.25">
      <c r="A16" s="159"/>
      <c r="B16" s="160"/>
      <c r="C16" s="161"/>
      <c r="D16" s="162"/>
      <c r="F16" s="34" t="s">
        <v>98</v>
      </c>
      <c r="G16" s="35"/>
      <c r="H16" s="36">
        <f>SUM(H6:H15)</f>
        <v>4162595</v>
      </c>
    </row>
    <row r="18" spans="1:9" ht="15" thickBot="1" x14ac:dyDescent="0.25"/>
    <row r="19" spans="1:9" ht="105.75" thickBot="1" x14ac:dyDescent="0.25">
      <c r="A19" s="179" t="s">
        <v>74</v>
      </c>
      <c r="B19" s="179"/>
      <c r="C19" s="180"/>
      <c r="D19" s="132" t="s">
        <v>12</v>
      </c>
      <c r="E19" s="133" t="s">
        <v>18</v>
      </c>
      <c r="F19" s="133" t="s">
        <v>20</v>
      </c>
      <c r="G19" s="133" t="s">
        <v>21</v>
      </c>
      <c r="H19" s="133" t="s">
        <v>24</v>
      </c>
    </row>
    <row r="20" spans="1:9" ht="30.75" thickBot="1" x14ac:dyDescent="0.3">
      <c r="A20" s="10" t="s">
        <v>14</v>
      </c>
      <c r="B20" s="20" t="s">
        <v>10</v>
      </c>
      <c r="C20" s="128" t="s">
        <v>0</v>
      </c>
      <c r="D20" s="134" t="s">
        <v>11</v>
      </c>
      <c r="E20" s="134" t="s">
        <v>17</v>
      </c>
      <c r="F20" s="134" t="s">
        <v>19</v>
      </c>
      <c r="G20" s="134" t="s">
        <v>22</v>
      </c>
      <c r="H20" s="134" t="s">
        <v>23</v>
      </c>
      <c r="I20" s="129" t="s">
        <v>98</v>
      </c>
    </row>
    <row r="21" spans="1:9" ht="15" x14ac:dyDescent="0.2">
      <c r="A21" s="56">
        <v>1</v>
      </c>
      <c r="B21" s="23" t="s">
        <v>26</v>
      </c>
      <c r="C21" s="22" t="s">
        <v>99</v>
      </c>
      <c r="D21" s="130"/>
      <c r="E21" s="130"/>
      <c r="F21" s="130"/>
      <c r="G21" s="130"/>
      <c r="H21" s="131">
        <f>138000+149000*11+195000*3*9</f>
        <v>7042000</v>
      </c>
      <c r="I21" s="121">
        <f t="shared" ref="I21:I50" si="0">SUM(D21:H21)</f>
        <v>7042000</v>
      </c>
    </row>
    <row r="22" spans="1:9" ht="15" x14ac:dyDescent="0.2">
      <c r="A22" s="54">
        <v>2</v>
      </c>
      <c r="B22" s="1" t="s">
        <v>27</v>
      </c>
      <c r="C22" s="23" t="s">
        <v>100</v>
      </c>
      <c r="D22" s="30"/>
      <c r="E22" s="30"/>
      <c r="F22" s="30"/>
      <c r="G22" s="30"/>
      <c r="H22" s="114">
        <v>126600</v>
      </c>
      <c r="I22" s="121">
        <f t="shared" si="0"/>
        <v>126600</v>
      </c>
    </row>
    <row r="23" spans="1:9" ht="15" x14ac:dyDescent="0.2">
      <c r="A23" s="54">
        <v>3</v>
      </c>
      <c r="B23" s="1" t="s">
        <v>28</v>
      </c>
      <c r="C23" s="23" t="s">
        <v>101</v>
      </c>
      <c r="D23" s="30"/>
      <c r="E23" s="30"/>
      <c r="F23" s="30"/>
      <c r="G23" s="30"/>
      <c r="H23" s="114"/>
      <c r="I23" s="121">
        <f t="shared" si="0"/>
        <v>0</v>
      </c>
    </row>
    <row r="24" spans="1:9" ht="15" x14ac:dyDescent="0.2">
      <c r="A24" s="54">
        <v>4</v>
      </c>
      <c r="B24" s="1" t="s">
        <v>169</v>
      </c>
      <c r="C24" s="23" t="s">
        <v>170</v>
      </c>
      <c r="D24" s="30"/>
      <c r="E24" s="30"/>
      <c r="F24" s="30"/>
      <c r="G24" s="30"/>
      <c r="H24" s="114"/>
      <c r="I24" s="121">
        <f t="shared" si="0"/>
        <v>0</v>
      </c>
    </row>
    <row r="25" spans="1:9" ht="15" x14ac:dyDescent="0.2">
      <c r="A25" s="55">
        <v>5</v>
      </c>
      <c r="B25" s="2" t="s">
        <v>76</v>
      </c>
      <c r="C25" s="24" t="s">
        <v>103</v>
      </c>
      <c r="D25" s="30">
        <f>SUM(D21:D24)</f>
        <v>0</v>
      </c>
      <c r="E25" s="30">
        <f t="shared" ref="E25:H25" si="1">SUM(E21:E24)</f>
        <v>0</v>
      </c>
      <c r="F25" s="30">
        <f t="shared" si="1"/>
        <v>0</v>
      </c>
      <c r="G25" s="30">
        <f t="shared" si="1"/>
        <v>0</v>
      </c>
      <c r="H25" s="114">
        <f t="shared" si="1"/>
        <v>7168600</v>
      </c>
      <c r="I25" s="121">
        <f t="shared" si="0"/>
        <v>7168600</v>
      </c>
    </row>
    <row r="26" spans="1:9" ht="15" x14ac:dyDescent="0.2">
      <c r="A26" s="54">
        <v>6</v>
      </c>
      <c r="B26" s="1" t="s">
        <v>29</v>
      </c>
      <c r="C26" s="23" t="s">
        <v>104</v>
      </c>
      <c r="D26" s="102">
        <f>548443*12+548443*0.15*12</f>
        <v>7568513.4000000004</v>
      </c>
      <c r="E26" s="30"/>
      <c r="F26" s="30"/>
      <c r="G26" s="30"/>
      <c r="H26" s="114"/>
      <c r="I26" s="121">
        <f t="shared" si="0"/>
        <v>7568513.4000000004</v>
      </c>
    </row>
    <row r="27" spans="1:9" ht="28.5" x14ac:dyDescent="0.2">
      <c r="A27" s="54">
        <v>7</v>
      </c>
      <c r="B27" s="1" t="s">
        <v>371</v>
      </c>
      <c r="C27" s="23" t="s">
        <v>105</v>
      </c>
      <c r="D27" s="30"/>
      <c r="E27" s="30"/>
      <c r="F27" s="30"/>
      <c r="G27" s="30"/>
      <c r="H27" s="114"/>
      <c r="I27" s="121">
        <f t="shared" si="0"/>
        <v>0</v>
      </c>
    </row>
    <row r="28" spans="1:9" ht="15" x14ac:dyDescent="0.2">
      <c r="A28" s="54">
        <v>8</v>
      </c>
      <c r="B28" s="1" t="s">
        <v>31</v>
      </c>
      <c r="C28" s="23" t="s">
        <v>106</v>
      </c>
      <c r="D28" s="30"/>
      <c r="E28" s="30"/>
      <c r="F28" s="30"/>
      <c r="G28" s="30"/>
      <c r="H28" s="114"/>
      <c r="I28" s="121">
        <f t="shared" si="0"/>
        <v>0</v>
      </c>
    </row>
    <row r="29" spans="1:9" ht="15" x14ac:dyDescent="0.2">
      <c r="A29" s="55">
        <v>9</v>
      </c>
      <c r="B29" s="2" t="s">
        <v>77</v>
      </c>
      <c r="C29" s="24" t="s">
        <v>107</v>
      </c>
      <c r="D29" s="30">
        <f>SUM(D26:D28)</f>
        <v>7568513.4000000004</v>
      </c>
      <c r="E29" s="30">
        <f t="shared" ref="E29:H29" si="2">SUM(E26:E28)</f>
        <v>0</v>
      </c>
      <c r="F29" s="30">
        <f t="shared" si="2"/>
        <v>0</v>
      </c>
      <c r="G29" s="30">
        <f t="shared" si="2"/>
        <v>0</v>
      </c>
      <c r="H29" s="114">
        <f t="shared" si="2"/>
        <v>0</v>
      </c>
      <c r="I29" s="121">
        <f t="shared" si="0"/>
        <v>7568513.4000000004</v>
      </c>
    </row>
    <row r="30" spans="1:9" ht="15.75" x14ac:dyDescent="0.2">
      <c r="A30" s="41">
        <v>10</v>
      </c>
      <c r="B30" s="27" t="s">
        <v>78</v>
      </c>
      <c r="C30" s="27" t="s">
        <v>108</v>
      </c>
      <c r="D30" s="31">
        <f>D25+D29</f>
        <v>7568513.4000000004</v>
      </c>
      <c r="E30" s="31">
        <f t="shared" ref="E30:H30" si="3">E25+E29</f>
        <v>0</v>
      </c>
      <c r="F30" s="31">
        <f t="shared" si="3"/>
        <v>0</v>
      </c>
      <c r="G30" s="31">
        <f t="shared" si="3"/>
        <v>0</v>
      </c>
      <c r="H30" s="115">
        <f t="shared" si="3"/>
        <v>7168600</v>
      </c>
      <c r="I30" s="122">
        <f t="shared" si="0"/>
        <v>14737113.4</v>
      </c>
    </row>
    <row r="31" spans="1:9" ht="31.5" x14ac:dyDescent="0.2">
      <c r="A31" s="41">
        <v>11</v>
      </c>
      <c r="B31" s="27" t="s">
        <v>79</v>
      </c>
      <c r="C31" s="27" t="s">
        <v>109</v>
      </c>
      <c r="D31" s="31">
        <f>SUM(D32:D34)</f>
        <v>1475860.1130000001</v>
      </c>
      <c r="E31" s="31">
        <f t="shared" ref="E31:H31" si="4">SUM(E32:E34)</f>
        <v>0</v>
      </c>
      <c r="F31" s="31">
        <f t="shared" si="4"/>
        <v>0</v>
      </c>
      <c r="G31" s="31">
        <f t="shared" si="4"/>
        <v>0</v>
      </c>
      <c r="H31" s="115">
        <f t="shared" si="4"/>
        <v>1416867</v>
      </c>
      <c r="I31" s="122">
        <f t="shared" si="0"/>
        <v>2892727.1129999999</v>
      </c>
    </row>
    <row r="32" spans="1:9" ht="15" x14ac:dyDescent="0.2">
      <c r="A32" s="57">
        <v>12</v>
      </c>
      <c r="B32" s="3" t="s">
        <v>32</v>
      </c>
      <c r="C32" s="25" t="s">
        <v>110</v>
      </c>
      <c r="D32" s="30">
        <f>+D26*0.195</f>
        <v>1475860.1130000001</v>
      </c>
      <c r="E32" s="30"/>
      <c r="F32" s="30"/>
      <c r="G32" s="30"/>
      <c r="H32" s="114">
        <f>H21*0.195+H22*0.195</f>
        <v>1397877</v>
      </c>
      <c r="I32" s="121">
        <f t="shared" si="0"/>
        <v>2873737.1129999999</v>
      </c>
    </row>
    <row r="33" spans="1:9" ht="15" x14ac:dyDescent="0.2">
      <c r="A33" s="57">
        <v>13</v>
      </c>
      <c r="B33" s="3" t="s">
        <v>33</v>
      </c>
      <c r="C33" s="25" t="s">
        <v>111</v>
      </c>
      <c r="D33" s="30"/>
      <c r="E33" s="30"/>
      <c r="F33" s="30"/>
      <c r="G33" s="30"/>
      <c r="H33" s="114"/>
      <c r="I33" s="121">
        <f t="shared" si="0"/>
        <v>0</v>
      </c>
    </row>
    <row r="34" spans="1:9" ht="15" x14ac:dyDescent="0.2">
      <c r="A34" s="57">
        <v>14</v>
      </c>
      <c r="B34" s="3" t="s">
        <v>34</v>
      </c>
      <c r="C34" s="25" t="s">
        <v>112</v>
      </c>
      <c r="D34" s="30"/>
      <c r="E34" s="30"/>
      <c r="F34" s="30"/>
      <c r="G34" s="30"/>
      <c r="H34" s="114">
        <f>+H22*0.15</f>
        <v>18990</v>
      </c>
      <c r="I34" s="121">
        <f t="shared" si="0"/>
        <v>18990</v>
      </c>
    </row>
    <row r="35" spans="1:9" ht="15.75" x14ac:dyDescent="0.2">
      <c r="A35" s="42">
        <v>15</v>
      </c>
      <c r="B35" s="37" t="s">
        <v>35</v>
      </c>
      <c r="C35" s="37" t="s">
        <v>113</v>
      </c>
      <c r="D35" s="38">
        <f>D30+D31</f>
        <v>9044373.5130000003</v>
      </c>
      <c r="E35" s="38">
        <f t="shared" ref="E35:G35" si="5">E30+E31</f>
        <v>0</v>
      </c>
      <c r="F35" s="38">
        <f t="shared" si="5"/>
        <v>0</v>
      </c>
      <c r="G35" s="38">
        <f t="shared" si="5"/>
        <v>0</v>
      </c>
      <c r="H35" s="116">
        <f>H30+H31</f>
        <v>8585467</v>
      </c>
      <c r="I35" s="123">
        <f t="shared" si="0"/>
        <v>17629840.513</v>
      </c>
    </row>
    <row r="36" spans="1:9" ht="15" x14ac:dyDescent="0.2">
      <c r="A36" s="54">
        <v>16</v>
      </c>
      <c r="B36" s="1" t="s">
        <v>36</v>
      </c>
      <c r="C36" s="23" t="s">
        <v>114</v>
      </c>
      <c r="D36" s="30">
        <f>SUM(D37:D38)</f>
        <v>0</v>
      </c>
      <c r="E36" s="30">
        <f>SUM(E37:E38)</f>
        <v>0</v>
      </c>
      <c r="F36" s="30">
        <f>SUM(F37:F38)</f>
        <v>0</v>
      </c>
      <c r="G36" s="30">
        <f>SUM(G37:G38)</f>
        <v>0</v>
      </c>
      <c r="H36" s="114">
        <f>SUM(H37:H38)</f>
        <v>0</v>
      </c>
      <c r="I36" s="121">
        <f t="shared" si="0"/>
        <v>0</v>
      </c>
    </row>
    <row r="37" spans="1:9" ht="15" x14ac:dyDescent="0.2">
      <c r="A37" s="58">
        <v>17</v>
      </c>
      <c r="B37" s="4" t="s">
        <v>37</v>
      </c>
      <c r="C37" s="25"/>
      <c r="D37" s="39"/>
      <c r="E37" s="39"/>
      <c r="F37" s="39"/>
      <c r="G37" s="39"/>
      <c r="H37" s="117"/>
      <c r="I37" s="124">
        <f t="shared" si="0"/>
        <v>0</v>
      </c>
    </row>
    <row r="38" spans="1:9" ht="15" x14ac:dyDescent="0.2">
      <c r="A38" s="58">
        <v>18</v>
      </c>
      <c r="B38" s="4" t="s">
        <v>38</v>
      </c>
      <c r="C38" s="25"/>
      <c r="D38" s="39"/>
      <c r="E38" s="39"/>
      <c r="F38" s="39"/>
      <c r="G38" s="39"/>
      <c r="H38" s="117"/>
      <c r="I38" s="124">
        <f t="shared" si="0"/>
        <v>0</v>
      </c>
    </row>
    <row r="39" spans="1:9" ht="15" x14ac:dyDescent="0.2">
      <c r="A39" s="54">
        <v>19</v>
      </c>
      <c r="B39" s="1" t="s">
        <v>39</v>
      </c>
      <c r="C39" s="23" t="s">
        <v>115</v>
      </c>
      <c r="D39" s="30">
        <v>200000</v>
      </c>
      <c r="E39" s="30">
        <f t="shared" ref="E39:G39" si="6">SUM(E40:E45)</f>
        <v>118110.23622047243</v>
      </c>
      <c r="F39" s="30">
        <f t="shared" si="6"/>
        <v>0</v>
      </c>
      <c r="G39" s="30">
        <f t="shared" si="6"/>
        <v>325220</v>
      </c>
      <c r="H39" s="114">
        <f>4264240</f>
        <v>4264240</v>
      </c>
      <c r="I39" s="121">
        <f t="shared" si="0"/>
        <v>4907570.2362204725</v>
      </c>
    </row>
    <row r="40" spans="1:9" ht="15" x14ac:dyDescent="0.2">
      <c r="A40" s="58">
        <v>20</v>
      </c>
      <c r="B40" s="4" t="s">
        <v>40</v>
      </c>
      <c r="C40" s="25"/>
      <c r="D40" s="39"/>
      <c r="E40" s="39"/>
      <c r="F40" s="39"/>
      <c r="G40" s="39"/>
      <c r="H40" s="117"/>
      <c r="I40" s="124">
        <f t="shared" si="0"/>
        <v>0</v>
      </c>
    </row>
    <row r="41" spans="1:9" ht="15" x14ac:dyDescent="0.2">
      <c r="A41" s="58">
        <v>21</v>
      </c>
      <c r="B41" s="4" t="s">
        <v>41</v>
      </c>
      <c r="C41" s="25"/>
      <c r="D41" s="39"/>
      <c r="E41" s="39"/>
      <c r="F41" s="39"/>
      <c r="G41" s="39">
        <f>360957-43800-66976-4961</f>
        <v>245220</v>
      </c>
      <c r="H41" s="117">
        <v>1500000</v>
      </c>
      <c r="I41" s="124">
        <f t="shared" si="0"/>
        <v>1745220</v>
      </c>
    </row>
    <row r="42" spans="1:9" ht="15" x14ac:dyDescent="0.2">
      <c r="A42" s="58">
        <v>22</v>
      </c>
      <c r="B42" s="4" t="s">
        <v>42</v>
      </c>
      <c r="C42" s="25"/>
      <c r="D42" s="39"/>
      <c r="E42" s="39"/>
      <c r="F42" s="39"/>
      <c r="G42" s="39"/>
      <c r="H42" s="117">
        <v>150000</v>
      </c>
      <c r="I42" s="124">
        <f t="shared" si="0"/>
        <v>150000</v>
      </c>
    </row>
    <row r="43" spans="1:9" ht="15" x14ac:dyDescent="0.2">
      <c r="A43" s="58">
        <v>23</v>
      </c>
      <c r="B43" s="4" t="s">
        <v>43</v>
      </c>
      <c r="C43" s="25"/>
      <c r="D43" s="39"/>
      <c r="E43" s="39">
        <f>150000/1.27</f>
        <v>118110.23622047243</v>
      </c>
      <c r="F43" s="39"/>
      <c r="G43" s="39">
        <v>80000</v>
      </c>
      <c r="H43" s="117">
        <v>2614240</v>
      </c>
      <c r="I43" s="124">
        <f t="shared" si="0"/>
        <v>2812350.2362204725</v>
      </c>
    </row>
    <row r="44" spans="1:9" ht="15" x14ac:dyDescent="0.2">
      <c r="A44" s="58">
        <v>24</v>
      </c>
      <c r="B44" s="4" t="s">
        <v>161</v>
      </c>
      <c r="C44" s="25"/>
      <c r="D44" s="39"/>
      <c r="E44" s="39"/>
      <c r="F44" s="39"/>
      <c r="G44" s="39"/>
      <c r="H44" s="117"/>
      <c r="I44" s="124">
        <f t="shared" si="0"/>
        <v>0</v>
      </c>
    </row>
    <row r="45" spans="1:9" ht="15" x14ac:dyDescent="0.2">
      <c r="A45" s="58">
        <v>25</v>
      </c>
      <c r="B45" s="4" t="s">
        <v>44</v>
      </c>
      <c r="C45" s="25"/>
      <c r="D45" s="39"/>
      <c r="E45" s="39"/>
      <c r="F45" s="39"/>
      <c r="G45" s="39"/>
      <c r="H45" s="117"/>
      <c r="I45" s="124">
        <f t="shared" si="0"/>
        <v>0</v>
      </c>
    </row>
    <row r="46" spans="1:9" ht="15" x14ac:dyDescent="0.2">
      <c r="A46" s="55">
        <v>26</v>
      </c>
      <c r="B46" s="2" t="s">
        <v>80</v>
      </c>
      <c r="C46" s="24" t="s">
        <v>116</v>
      </c>
      <c r="D46" s="30">
        <f>D36+D39</f>
        <v>200000</v>
      </c>
      <c r="E46" s="30">
        <f>E36+E39</f>
        <v>118110.23622047243</v>
      </c>
      <c r="F46" s="30">
        <f>F36+F39</f>
        <v>0</v>
      </c>
      <c r="G46" s="30">
        <f>G36+G39</f>
        <v>325220</v>
      </c>
      <c r="H46" s="114">
        <f>H36+H39</f>
        <v>4264240</v>
      </c>
      <c r="I46" s="121">
        <f t="shared" si="0"/>
        <v>4907570.2362204725</v>
      </c>
    </row>
    <row r="47" spans="1:9" ht="15" x14ac:dyDescent="0.2">
      <c r="A47" s="54">
        <v>27</v>
      </c>
      <c r="B47" s="1" t="s">
        <v>45</v>
      </c>
      <c r="C47" s="23" t="s">
        <v>117</v>
      </c>
      <c r="D47" s="30">
        <v>150000</v>
      </c>
      <c r="E47" s="30">
        <v>0</v>
      </c>
      <c r="F47" s="30">
        <v>0</v>
      </c>
      <c r="G47" s="30">
        <v>0</v>
      </c>
      <c r="H47" s="114">
        <v>23000</v>
      </c>
      <c r="I47" s="121">
        <f t="shared" si="0"/>
        <v>173000</v>
      </c>
    </row>
    <row r="48" spans="1:9" ht="15" x14ac:dyDescent="0.2">
      <c r="A48" s="54">
        <v>30</v>
      </c>
      <c r="B48" s="1" t="s">
        <v>48</v>
      </c>
      <c r="C48" s="23" t="s">
        <v>118</v>
      </c>
      <c r="D48" s="30">
        <f>SUM(D49)</f>
        <v>130000</v>
      </c>
      <c r="E48" s="30">
        <f t="shared" ref="E48:H48" si="7">SUM(E49)</f>
        <v>0</v>
      </c>
      <c r="F48" s="30">
        <f t="shared" si="7"/>
        <v>0</v>
      </c>
      <c r="G48" s="30">
        <f t="shared" si="7"/>
        <v>0</v>
      </c>
      <c r="H48" s="114">
        <f t="shared" si="7"/>
        <v>40000</v>
      </c>
      <c r="I48" s="121">
        <f t="shared" si="0"/>
        <v>170000</v>
      </c>
    </row>
    <row r="49" spans="1:9" ht="15" x14ac:dyDescent="0.2">
      <c r="A49" s="58">
        <v>31</v>
      </c>
      <c r="B49" s="4" t="s">
        <v>49</v>
      </c>
      <c r="C49" s="25"/>
      <c r="D49" s="39">
        <v>130000</v>
      </c>
      <c r="E49" s="39"/>
      <c r="F49" s="39"/>
      <c r="G49" s="39"/>
      <c r="H49" s="117">
        <v>40000</v>
      </c>
      <c r="I49" s="124">
        <f t="shared" si="0"/>
        <v>170000</v>
      </c>
    </row>
    <row r="50" spans="1:9" ht="15" x14ac:dyDescent="0.2">
      <c r="A50" s="55">
        <v>32</v>
      </c>
      <c r="B50" s="2" t="s">
        <v>81</v>
      </c>
      <c r="C50" s="24" t="s">
        <v>119</v>
      </c>
      <c r="D50" s="30">
        <f>D47+D48</f>
        <v>280000</v>
      </c>
      <c r="E50" s="30">
        <f>E47+E48</f>
        <v>0</v>
      </c>
      <c r="F50" s="30">
        <f>F47+F48</f>
        <v>0</v>
      </c>
      <c r="G50" s="30">
        <f>G47+G48</f>
        <v>0</v>
      </c>
      <c r="H50" s="114">
        <f>H47+H48</f>
        <v>63000</v>
      </c>
      <c r="I50" s="121">
        <f t="shared" si="0"/>
        <v>343000</v>
      </c>
    </row>
    <row r="51" spans="1:9" ht="15" x14ac:dyDescent="0.2">
      <c r="A51" s="54">
        <v>33</v>
      </c>
      <c r="B51" s="1" t="s">
        <v>50</v>
      </c>
      <c r="C51" s="23" t="s">
        <v>120</v>
      </c>
      <c r="D51" s="30">
        <f>SUM(D52:D54)</f>
        <v>0</v>
      </c>
      <c r="E51" s="30">
        <f t="shared" ref="E51:H51" si="8">SUM(E52:E54)</f>
        <v>0</v>
      </c>
      <c r="F51" s="30">
        <f t="shared" si="8"/>
        <v>3500000</v>
      </c>
      <c r="G51" s="30">
        <f t="shared" si="8"/>
        <v>0</v>
      </c>
      <c r="H51" s="114">
        <f t="shared" si="8"/>
        <v>490000</v>
      </c>
      <c r="I51" s="121">
        <f t="shared" ref="I51:I82" si="9">SUM(D51:H51)</f>
        <v>3990000</v>
      </c>
    </row>
    <row r="52" spans="1:9" ht="15" x14ac:dyDescent="0.2">
      <c r="A52" s="58">
        <v>34</v>
      </c>
      <c r="B52" s="4" t="s">
        <v>51</v>
      </c>
      <c r="C52" s="25"/>
      <c r="D52" s="39"/>
      <c r="E52" s="39"/>
      <c r="F52" s="30">
        <v>3500000</v>
      </c>
      <c r="G52" s="39"/>
      <c r="H52" s="117">
        <v>300000</v>
      </c>
      <c r="I52" s="124">
        <f>SUM(D52:H52)</f>
        <v>3800000</v>
      </c>
    </row>
    <row r="53" spans="1:9" ht="15" x14ac:dyDescent="0.2">
      <c r="A53" s="58">
        <v>35</v>
      </c>
      <c r="B53" s="4" t="s">
        <v>52</v>
      </c>
      <c r="C53" s="25"/>
      <c r="D53" s="39"/>
      <c r="E53" s="39"/>
      <c r="F53" s="39"/>
      <c r="G53" s="39"/>
      <c r="H53" s="117">
        <v>100000</v>
      </c>
      <c r="I53" s="124">
        <f t="shared" si="9"/>
        <v>100000</v>
      </c>
    </row>
    <row r="54" spans="1:9" ht="15" x14ac:dyDescent="0.2">
      <c r="A54" s="58">
        <v>36</v>
      </c>
      <c r="B54" s="4" t="s">
        <v>53</v>
      </c>
      <c r="C54" s="25"/>
      <c r="D54" s="39"/>
      <c r="E54" s="39"/>
      <c r="F54" s="39"/>
      <c r="G54" s="39"/>
      <c r="H54" s="117">
        <v>90000</v>
      </c>
      <c r="I54" s="124">
        <f t="shared" si="9"/>
        <v>90000</v>
      </c>
    </row>
    <row r="55" spans="1:9" ht="15" x14ac:dyDescent="0.2">
      <c r="A55" s="54">
        <v>37</v>
      </c>
      <c r="B55" s="1" t="s">
        <v>54</v>
      </c>
      <c r="C55" s="23" t="s">
        <v>121</v>
      </c>
      <c r="D55" s="30">
        <f>200000/1.27</f>
        <v>157480.31496062991</v>
      </c>
      <c r="E55" s="30"/>
      <c r="F55" s="30"/>
      <c r="G55" s="30"/>
      <c r="H55" s="114">
        <v>0</v>
      </c>
      <c r="I55" s="121">
        <f t="shared" si="9"/>
        <v>157480.31496062991</v>
      </c>
    </row>
    <row r="56" spans="1:9" ht="15" x14ac:dyDescent="0.2">
      <c r="A56" s="54">
        <v>38</v>
      </c>
      <c r="B56" s="1" t="s">
        <v>82</v>
      </c>
      <c r="C56" s="23" t="s">
        <v>122</v>
      </c>
      <c r="D56" s="30"/>
      <c r="E56" s="30"/>
      <c r="F56" s="30"/>
      <c r="G56" s="30"/>
      <c r="H56" s="114">
        <v>0</v>
      </c>
      <c r="I56" s="121">
        <f t="shared" si="9"/>
        <v>0</v>
      </c>
    </row>
    <row r="57" spans="1:9" ht="15" x14ac:dyDescent="0.2">
      <c r="A57" s="54">
        <v>39</v>
      </c>
      <c r="B57" s="1" t="s">
        <v>55</v>
      </c>
      <c r="C57" s="23" t="s">
        <v>123</v>
      </c>
      <c r="D57" s="30">
        <v>5000</v>
      </c>
      <c r="E57" s="30"/>
      <c r="F57" s="30">
        <v>612720</v>
      </c>
      <c r="G57" s="30">
        <v>60000</v>
      </c>
      <c r="H57" s="114">
        <v>400000</v>
      </c>
      <c r="I57" s="121">
        <f t="shared" si="9"/>
        <v>1077720</v>
      </c>
    </row>
    <row r="58" spans="1:9" ht="15" x14ac:dyDescent="0.2">
      <c r="A58" s="61">
        <v>40</v>
      </c>
      <c r="B58" s="5" t="s">
        <v>83</v>
      </c>
      <c r="C58" s="23" t="s">
        <v>124</v>
      </c>
      <c r="D58" s="30"/>
      <c r="E58" s="30"/>
      <c r="F58" s="30"/>
      <c r="G58" s="30"/>
      <c r="H58" s="114"/>
      <c r="I58" s="121">
        <f t="shared" si="9"/>
        <v>0</v>
      </c>
    </row>
    <row r="59" spans="1:9" ht="15" x14ac:dyDescent="0.2">
      <c r="A59" s="54">
        <v>41</v>
      </c>
      <c r="B59" s="1" t="s">
        <v>56</v>
      </c>
      <c r="C59" s="23" t="s">
        <v>125</v>
      </c>
      <c r="D59" s="30">
        <v>350154</v>
      </c>
      <c r="E59" s="30"/>
      <c r="F59" s="30"/>
      <c r="G59" s="30"/>
      <c r="H59" s="114">
        <v>430000</v>
      </c>
      <c r="I59" s="121">
        <f t="shared" si="9"/>
        <v>780154</v>
      </c>
    </row>
    <row r="60" spans="1:9" ht="15" x14ac:dyDescent="0.2">
      <c r="A60" s="54">
        <v>42</v>
      </c>
      <c r="B60" s="1" t="s">
        <v>84</v>
      </c>
      <c r="C60" s="23" t="s">
        <v>126</v>
      </c>
      <c r="D60" s="30">
        <f>SUM(D61:D65)</f>
        <v>1330000</v>
      </c>
      <c r="E60" s="30">
        <f>SUM(E61:E65)</f>
        <v>0</v>
      </c>
      <c r="F60" s="30">
        <f>SUM(F61:F65)</f>
        <v>0</v>
      </c>
      <c r="G60" s="30">
        <f>SUM(G61:G65)</f>
        <v>0</v>
      </c>
      <c r="H60" s="114">
        <f>SUM(H61:H65)</f>
        <v>1490000</v>
      </c>
      <c r="I60" s="121">
        <f t="shared" si="9"/>
        <v>2820000</v>
      </c>
    </row>
    <row r="61" spans="1:9" ht="15" x14ac:dyDescent="0.2">
      <c r="A61" s="58">
        <v>43</v>
      </c>
      <c r="B61" s="4" t="s">
        <v>157</v>
      </c>
      <c r="C61" s="25"/>
      <c r="D61" s="39"/>
      <c r="E61" s="39"/>
      <c r="F61" s="39"/>
      <c r="G61" s="39"/>
      <c r="H61" s="117"/>
      <c r="I61" s="124">
        <f t="shared" si="9"/>
        <v>0</v>
      </c>
    </row>
    <row r="62" spans="1:9" ht="15" x14ac:dyDescent="0.2">
      <c r="A62" s="58">
        <v>45</v>
      </c>
      <c r="B62" s="4" t="s">
        <v>158</v>
      </c>
      <c r="C62" s="25"/>
      <c r="D62" s="39"/>
      <c r="E62" s="39"/>
      <c r="F62" s="39"/>
      <c r="G62" s="39"/>
      <c r="H62" s="117"/>
      <c r="I62" s="124">
        <f t="shared" si="9"/>
        <v>0</v>
      </c>
    </row>
    <row r="63" spans="1:9" ht="15" x14ac:dyDescent="0.2">
      <c r="A63" s="58">
        <v>46</v>
      </c>
      <c r="B63" s="4" t="s">
        <v>159</v>
      </c>
      <c r="C63" s="25"/>
      <c r="D63" s="39">
        <v>1000000</v>
      </c>
      <c r="E63" s="39"/>
      <c r="F63" s="39"/>
      <c r="G63" s="39"/>
      <c r="H63" s="117"/>
      <c r="I63" s="124">
        <f t="shared" si="9"/>
        <v>1000000</v>
      </c>
    </row>
    <row r="64" spans="1:9" ht="15" x14ac:dyDescent="0.2">
      <c r="A64" s="58">
        <v>47</v>
      </c>
      <c r="B64" s="4" t="s">
        <v>160</v>
      </c>
      <c r="C64" s="25"/>
      <c r="D64" s="39">
        <v>330000</v>
      </c>
      <c r="E64" s="39"/>
      <c r="F64" s="39"/>
      <c r="G64" s="39"/>
      <c r="H64" s="117">
        <v>600000</v>
      </c>
      <c r="I64" s="124">
        <f t="shared" si="9"/>
        <v>930000</v>
      </c>
    </row>
    <row r="65" spans="1:9" ht="15" x14ac:dyDescent="0.2">
      <c r="A65" s="57">
        <v>48</v>
      </c>
      <c r="B65" s="3" t="s">
        <v>156</v>
      </c>
      <c r="C65" s="25"/>
      <c r="D65" s="39"/>
      <c r="E65" s="39"/>
      <c r="F65" s="39"/>
      <c r="G65" s="39"/>
      <c r="H65" s="117">
        <v>890000</v>
      </c>
      <c r="I65" s="124">
        <f t="shared" si="9"/>
        <v>890000</v>
      </c>
    </row>
    <row r="66" spans="1:9" ht="15" x14ac:dyDescent="0.2">
      <c r="A66" s="55">
        <v>49</v>
      </c>
      <c r="B66" s="2" t="s">
        <v>85</v>
      </c>
      <c r="C66" s="24" t="s">
        <v>127</v>
      </c>
      <c r="D66" s="30">
        <f>D51+D55+D56+D57+D58+D59+D60</f>
        <v>1842634.3149606299</v>
      </c>
      <c r="E66" s="30">
        <f t="shared" ref="E66:H66" si="10">E51+E55+E56+E57+E58+E59+E60</f>
        <v>0</v>
      </c>
      <c r="F66" s="30">
        <f t="shared" si="10"/>
        <v>4112720</v>
      </c>
      <c r="G66" s="30">
        <f t="shared" si="10"/>
        <v>60000</v>
      </c>
      <c r="H66" s="30">
        <f t="shared" si="10"/>
        <v>2810000</v>
      </c>
      <c r="I66" s="121">
        <f t="shared" si="9"/>
        <v>8825354.3149606287</v>
      </c>
    </row>
    <row r="67" spans="1:9" ht="15" x14ac:dyDescent="0.2">
      <c r="A67" s="54">
        <v>50</v>
      </c>
      <c r="B67" s="1" t="s">
        <v>57</v>
      </c>
      <c r="C67" s="23" t="s">
        <v>128</v>
      </c>
      <c r="D67" s="30"/>
      <c r="E67" s="30"/>
      <c r="F67" s="30"/>
      <c r="G67" s="30"/>
      <c r="H67" s="114"/>
      <c r="I67" s="121">
        <f t="shared" si="9"/>
        <v>0</v>
      </c>
    </row>
    <row r="68" spans="1:9" ht="15" x14ac:dyDescent="0.2">
      <c r="A68" s="54">
        <v>51</v>
      </c>
      <c r="B68" s="1" t="s">
        <v>58</v>
      </c>
      <c r="C68" s="23" t="s">
        <v>129</v>
      </c>
      <c r="D68" s="30">
        <v>140000</v>
      </c>
      <c r="E68" s="30"/>
      <c r="F68" s="30"/>
      <c r="G68" s="30"/>
      <c r="H68" s="114"/>
      <c r="I68" s="121">
        <f t="shared" si="9"/>
        <v>140000</v>
      </c>
    </row>
    <row r="69" spans="1:9" ht="15" x14ac:dyDescent="0.2">
      <c r="A69" s="55">
        <v>52</v>
      </c>
      <c r="B69" s="2" t="s">
        <v>86</v>
      </c>
      <c r="C69" s="24" t="s">
        <v>130</v>
      </c>
      <c r="D69" s="30">
        <f>SUM(D67:D68)</f>
        <v>140000</v>
      </c>
      <c r="E69" s="30">
        <f t="shared" ref="E69:H69" si="11">SUM(E67:E68)</f>
        <v>0</v>
      </c>
      <c r="F69" s="30">
        <f t="shared" si="11"/>
        <v>0</v>
      </c>
      <c r="G69" s="30">
        <f t="shared" si="11"/>
        <v>0</v>
      </c>
      <c r="H69" s="114">
        <f t="shared" si="11"/>
        <v>0</v>
      </c>
      <c r="I69" s="121">
        <f t="shared" si="9"/>
        <v>140000</v>
      </c>
    </row>
    <row r="70" spans="1:9" ht="28.5" x14ac:dyDescent="0.2">
      <c r="A70" s="54">
        <v>53</v>
      </c>
      <c r="B70" s="1" t="s">
        <v>59</v>
      </c>
      <c r="C70" s="23" t="s">
        <v>131</v>
      </c>
      <c r="D70" s="30">
        <f>300000+D55*0.27</f>
        <v>342519.68503937009</v>
      </c>
      <c r="E70" s="30">
        <f>E43*0.27</f>
        <v>31889.763779527559</v>
      </c>
      <c r="F70" s="30">
        <f>(F52+F57)*0.27</f>
        <v>1110434.4000000001</v>
      </c>
      <c r="G70" s="30">
        <v>100000</v>
      </c>
      <c r="H70" s="114">
        <v>1500000</v>
      </c>
      <c r="I70" s="121">
        <f t="shared" si="9"/>
        <v>3084843.8488188977</v>
      </c>
    </row>
    <row r="71" spans="1:9" ht="15" x14ac:dyDescent="0.2">
      <c r="A71" s="54">
        <v>54</v>
      </c>
      <c r="B71" s="1" t="s">
        <v>60</v>
      </c>
      <c r="C71" s="23" t="s">
        <v>132</v>
      </c>
      <c r="D71" s="30">
        <f>+'Koncessziós díj és vízterm.'!D7+Ravatalozó!D7</f>
        <v>1154436.57</v>
      </c>
      <c r="E71" s="30"/>
      <c r="F71" s="30"/>
      <c r="G71" s="30"/>
      <c r="H71" s="114"/>
      <c r="I71" s="121">
        <f t="shared" si="9"/>
        <v>1154436.57</v>
      </c>
    </row>
    <row r="72" spans="1:9" ht="15" x14ac:dyDescent="0.2">
      <c r="A72" s="54">
        <v>55</v>
      </c>
      <c r="B72" s="1" t="s">
        <v>87</v>
      </c>
      <c r="C72" s="23" t="s">
        <v>133</v>
      </c>
      <c r="D72" s="30"/>
      <c r="E72" s="30"/>
      <c r="F72" s="30"/>
      <c r="G72" s="30"/>
      <c r="H72" s="114"/>
      <c r="I72" s="121">
        <f t="shared" si="9"/>
        <v>0</v>
      </c>
    </row>
    <row r="73" spans="1:9" ht="28.5" x14ac:dyDescent="0.2">
      <c r="A73" s="54">
        <v>56</v>
      </c>
      <c r="B73" s="1" t="s">
        <v>398</v>
      </c>
      <c r="C73" s="23" t="s">
        <v>134</v>
      </c>
      <c r="D73" s="30">
        <v>1000000</v>
      </c>
      <c r="E73" s="30"/>
      <c r="F73" s="30"/>
      <c r="G73" s="30"/>
      <c r="H73" s="114">
        <v>90000</v>
      </c>
      <c r="I73" s="121">
        <f t="shared" si="9"/>
        <v>1090000</v>
      </c>
    </row>
    <row r="74" spans="1:9" ht="15" x14ac:dyDescent="0.2">
      <c r="A74" s="55">
        <v>57</v>
      </c>
      <c r="B74" s="2" t="s">
        <v>88</v>
      </c>
      <c r="C74" s="24" t="s">
        <v>135</v>
      </c>
      <c r="D74" s="30">
        <f>SUM(D70:D73)</f>
        <v>2496956.2550393702</v>
      </c>
      <c r="E74" s="30">
        <f t="shared" ref="E74:H74" si="12">SUM(E70:E73)</f>
        <v>31889.763779527559</v>
      </c>
      <c r="F74" s="30">
        <f t="shared" si="12"/>
        <v>1110434.4000000001</v>
      </c>
      <c r="G74" s="30">
        <f t="shared" si="12"/>
        <v>100000</v>
      </c>
      <c r="H74" s="114">
        <f t="shared" si="12"/>
        <v>1590000</v>
      </c>
      <c r="I74" s="121">
        <f t="shared" si="9"/>
        <v>5329280.4188188976</v>
      </c>
    </row>
    <row r="75" spans="1:9" ht="15.75" x14ac:dyDescent="0.2">
      <c r="A75" s="41">
        <v>58</v>
      </c>
      <c r="B75" s="27" t="s">
        <v>89</v>
      </c>
      <c r="C75" s="27" t="s">
        <v>136</v>
      </c>
      <c r="D75" s="31">
        <f>D74+D69+D66+D50+D46</f>
        <v>4959590.57</v>
      </c>
      <c r="E75" s="31">
        <f>E74+E69+E66+E50+E46</f>
        <v>150000</v>
      </c>
      <c r="F75" s="31">
        <f>F74+F69+F66+F50+F46</f>
        <v>5223154.4000000004</v>
      </c>
      <c r="G75" s="31">
        <f>G74+G69+G66+G50+G46</f>
        <v>485220</v>
      </c>
      <c r="H75" s="115">
        <f>H74+H69+H66+H50+H46</f>
        <v>8727240</v>
      </c>
      <c r="I75" s="122">
        <f t="shared" si="9"/>
        <v>19545204.969999999</v>
      </c>
    </row>
    <row r="76" spans="1:9" ht="28.5" x14ac:dyDescent="0.2">
      <c r="A76" s="59">
        <v>59</v>
      </c>
      <c r="B76" s="6" t="s">
        <v>351</v>
      </c>
      <c r="C76" s="23" t="s">
        <v>139</v>
      </c>
      <c r="D76" s="30">
        <v>580000</v>
      </c>
      <c r="E76" s="30"/>
      <c r="F76" s="30"/>
      <c r="G76" s="30"/>
      <c r="H76" s="114"/>
      <c r="I76" s="121">
        <f t="shared" si="9"/>
        <v>580000</v>
      </c>
    </row>
    <row r="77" spans="1:9" ht="15" x14ac:dyDescent="0.2">
      <c r="A77" s="59">
        <v>60</v>
      </c>
      <c r="B77" s="6" t="s">
        <v>63</v>
      </c>
      <c r="C77" s="23" t="s">
        <v>141</v>
      </c>
      <c r="D77" s="30"/>
      <c r="E77" s="30"/>
      <c r="F77" s="30"/>
      <c r="G77" s="30"/>
      <c r="H77" s="114"/>
      <c r="I77" s="121">
        <f t="shared" si="9"/>
        <v>0</v>
      </c>
    </row>
    <row r="78" spans="1:9" ht="15" x14ac:dyDescent="0.2">
      <c r="A78" s="43">
        <v>61</v>
      </c>
      <c r="B78" s="28" t="s">
        <v>94</v>
      </c>
      <c r="C78" s="29" t="s">
        <v>142</v>
      </c>
      <c r="D78" s="32">
        <f>D77+D76</f>
        <v>580000</v>
      </c>
      <c r="E78" s="32">
        <f t="shared" ref="E78:H78" si="13">E77</f>
        <v>0</v>
      </c>
      <c r="F78" s="32">
        <f t="shared" si="13"/>
        <v>0</v>
      </c>
      <c r="G78" s="32">
        <f t="shared" si="13"/>
        <v>0</v>
      </c>
      <c r="H78" s="118">
        <f t="shared" si="13"/>
        <v>0</v>
      </c>
      <c r="I78" s="125">
        <f t="shared" si="9"/>
        <v>580000</v>
      </c>
    </row>
    <row r="79" spans="1:9" ht="15.75" x14ac:dyDescent="0.2">
      <c r="A79" s="42">
        <v>62</v>
      </c>
      <c r="B79" s="37" t="s">
        <v>64</v>
      </c>
      <c r="C79" s="37" t="s">
        <v>143</v>
      </c>
      <c r="D79" s="38">
        <f>D30+D31+D75+D78</f>
        <v>14583964.083000001</v>
      </c>
      <c r="E79" s="38">
        <f>E30+E31+E75+E78</f>
        <v>150000</v>
      </c>
      <c r="F79" s="38">
        <f>F30+F31+F75+F78</f>
        <v>5223154.4000000004</v>
      </c>
      <c r="G79" s="38">
        <f>G30+G31+G75+G78</f>
        <v>485220</v>
      </c>
      <c r="H79" s="116">
        <f>H30+H31+H75+H78</f>
        <v>17312707</v>
      </c>
      <c r="I79" s="123">
        <f>SUM(D79:H79)</f>
        <v>37755045.483000003</v>
      </c>
    </row>
    <row r="80" spans="1:9" ht="15" x14ac:dyDescent="0.2">
      <c r="A80" s="59">
        <v>63</v>
      </c>
      <c r="B80" s="6" t="s">
        <v>65</v>
      </c>
      <c r="C80" s="23" t="s">
        <v>144</v>
      </c>
      <c r="D80" s="30"/>
      <c r="E80" s="30"/>
      <c r="F80" s="30"/>
      <c r="G80" s="30"/>
      <c r="H80" s="114">
        <v>3570000</v>
      </c>
      <c r="I80" s="121">
        <f t="shared" si="9"/>
        <v>3570000</v>
      </c>
    </row>
    <row r="81" spans="1:10" ht="15" x14ac:dyDescent="0.2">
      <c r="A81" s="59">
        <v>64</v>
      </c>
      <c r="B81" s="6" t="s">
        <v>95</v>
      </c>
      <c r="C81" s="23" t="s">
        <v>145</v>
      </c>
      <c r="D81" s="30"/>
      <c r="E81" s="30"/>
      <c r="F81" s="30"/>
      <c r="G81" s="30"/>
      <c r="H81" s="114"/>
      <c r="I81" s="121">
        <f t="shared" si="9"/>
        <v>0</v>
      </c>
    </row>
    <row r="82" spans="1:10" ht="15" x14ac:dyDescent="0.2">
      <c r="A82" s="54">
        <v>65</v>
      </c>
      <c r="B82" s="1" t="s">
        <v>66</v>
      </c>
      <c r="C82" s="23" t="s">
        <v>146</v>
      </c>
      <c r="D82" s="30"/>
      <c r="E82" s="30"/>
      <c r="F82" s="30"/>
      <c r="G82" s="30"/>
      <c r="H82" s="114"/>
      <c r="I82" s="121">
        <f t="shared" si="9"/>
        <v>0</v>
      </c>
    </row>
    <row r="83" spans="1:10" ht="15" x14ac:dyDescent="0.2">
      <c r="A83" s="59">
        <v>66</v>
      </c>
      <c r="B83" s="6" t="s">
        <v>67</v>
      </c>
      <c r="C83" s="23" t="s">
        <v>147</v>
      </c>
      <c r="D83" s="30"/>
      <c r="E83" s="30"/>
      <c r="F83" s="15"/>
      <c r="G83" s="30"/>
      <c r="H83" s="114"/>
      <c r="I83" s="121">
        <f t="shared" ref="I83:I92" si="14">SUM(D83:H83)</f>
        <v>0</v>
      </c>
    </row>
    <row r="84" spans="1:10" ht="28.5" x14ac:dyDescent="0.2">
      <c r="A84" s="54">
        <v>67</v>
      </c>
      <c r="B84" s="1" t="s">
        <v>68</v>
      </c>
      <c r="C84" s="23" t="s">
        <v>148</v>
      </c>
      <c r="D84" s="30"/>
      <c r="E84" s="30"/>
      <c r="F84" s="15"/>
      <c r="G84" s="30"/>
      <c r="H84" s="114">
        <f>H83*0.27+H80*0.27</f>
        <v>963900.00000000012</v>
      </c>
      <c r="I84" s="121">
        <f t="shared" si="14"/>
        <v>963900.00000000012</v>
      </c>
    </row>
    <row r="85" spans="1:10" ht="15" x14ac:dyDescent="0.2">
      <c r="A85" s="43">
        <v>68</v>
      </c>
      <c r="B85" s="28" t="s">
        <v>96</v>
      </c>
      <c r="C85" s="29" t="s">
        <v>149</v>
      </c>
      <c r="D85" s="32">
        <f>SUM(D80:D84)</f>
        <v>0</v>
      </c>
      <c r="E85" s="32">
        <f>SUM(E80:E84)</f>
        <v>0</v>
      </c>
      <c r="F85" s="32">
        <f t="shared" ref="F85:G85" si="15">SUM(F80:F84)</f>
        <v>0</v>
      </c>
      <c r="G85" s="32">
        <f t="shared" si="15"/>
        <v>0</v>
      </c>
      <c r="H85" s="118">
        <f>SUM(H80:H84)</f>
        <v>4533900</v>
      </c>
      <c r="I85" s="125">
        <f t="shared" si="14"/>
        <v>4533900</v>
      </c>
    </row>
    <row r="86" spans="1:10" ht="15" x14ac:dyDescent="0.2">
      <c r="A86" s="59">
        <v>69</v>
      </c>
      <c r="B86" s="6" t="s">
        <v>69</v>
      </c>
      <c r="C86" s="23" t="s">
        <v>150</v>
      </c>
      <c r="D86" s="30"/>
      <c r="E86" s="30">
        <f>6000000/1.27</f>
        <v>4724409.4488188978</v>
      </c>
      <c r="F86" s="30"/>
      <c r="G86" s="30"/>
      <c r="H86" s="114"/>
      <c r="I86" s="121">
        <f t="shared" si="14"/>
        <v>4724409.4488188978</v>
      </c>
      <c r="J86" s="103"/>
    </row>
    <row r="87" spans="1:10" ht="15" x14ac:dyDescent="0.2">
      <c r="A87" s="59">
        <v>70</v>
      </c>
      <c r="B87" s="6" t="s">
        <v>70</v>
      </c>
      <c r="C87" s="23" t="s">
        <v>151</v>
      </c>
      <c r="D87" s="30"/>
      <c r="E87" s="30"/>
      <c r="F87" s="30"/>
      <c r="G87" s="30"/>
      <c r="H87" s="114"/>
      <c r="I87" s="121">
        <f t="shared" si="14"/>
        <v>0</v>
      </c>
    </row>
    <row r="88" spans="1:10" ht="15" x14ac:dyDescent="0.2">
      <c r="A88" s="59">
        <v>71</v>
      </c>
      <c r="B88" s="6" t="s">
        <v>71</v>
      </c>
      <c r="C88" s="23" t="s">
        <v>152</v>
      </c>
      <c r="D88" s="30"/>
      <c r="F88" s="30"/>
      <c r="G88" s="30"/>
      <c r="H88" s="114"/>
      <c r="I88" s="121">
        <f t="shared" si="14"/>
        <v>0</v>
      </c>
    </row>
    <row r="89" spans="1:10" ht="28.5" x14ac:dyDescent="0.2">
      <c r="A89" s="59">
        <v>72</v>
      </c>
      <c r="B89" s="6" t="s">
        <v>72</v>
      </c>
      <c r="C89" s="23" t="s">
        <v>153</v>
      </c>
      <c r="D89" s="30"/>
      <c r="E89" s="30">
        <f>E86*0.27</f>
        <v>1275590.5511811024</v>
      </c>
      <c r="F89" s="30"/>
      <c r="G89" s="30"/>
      <c r="H89" s="114">
        <f>H86*0.27</f>
        <v>0</v>
      </c>
      <c r="I89" s="121">
        <f t="shared" si="14"/>
        <v>1275590.5511811024</v>
      </c>
    </row>
    <row r="90" spans="1:10" ht="15" x14ac:dyDescent="0.2">
      <c r="A90" s="43">
        <v>73</v>
      </c>
      <c r="B90" s="28" t="s">
        <v>97</v>
      </c>
      <c r="C90" s="29" t="s">
        <v>154</v>
      </c>
      <c r="D90" s="32">
        <f>SUM(D86:D89)</f>
        <v>0</v>
      </c>
      <c r="E90" s="32">
        <f>SUM(E86:E89)</f>
        <v>6000000</v>
      </c>
      <c r="F90" s="32">
        <f t="shared" ref="F90:H90" si="16">SUM(F86:F89)</f>
        <v>0</v>
      </c>
      <c r="G90" s="32">
        <f t="shared" si="16"/>
        <v>0</v>
      </c>
      <c r="H90" s="118">
        <f t="shared" si="16"/>
        <v>0</v>
      </c>
      <c r="I90" s="125">
        <f t="shared" si="14"/>
        <v>6000000</v>
      </c>
    </row>
    <row r="91" spans="1:10" ht="32.25" thickBot="1" x14ac:dyDescent="0.25">
      <c r="A91" s="44">
        <v>74</v>
      </c>
      <c r="B91" s="45" t="s">
        <v>73</v>
      </c>
      <c r="C91" s="45" t="s">
        <v>155</v>
      </c>
      <c r="D91" s="46">
        <f>D85+D90</f>
        <v>0</v>
      </c>
      <c r="E91" s="46">
        <f>E85+E90</f>
        <v>6000000</v>
      </c>
      <c r="F91" s="46">
        <f t="shared" ref="F91:H91" si="17">F85+F90</f>
        <v>0</v>
      </c>
      <c r="G91" s="46">
        <f t="shared" si="17"/>
        <v>0</v>
      </c>
      <c r="H91" s="119">
        <f t="shared" si="17"/>
        <v>4533900</v>
      </c>
      <c r="I91" s="126">
        <f t="shared" si="14"/>
        <v>10533900</v>
      </c>
    </row>
    <row r="92" spans="1:10" ht="18.75" thickBot="1" x14ac:dyDescent="0.3">
      <c r="A92" s="60">
        <v>75</v>
      </c>
      <c r="B92" s="47" t="s">
        <v>162</v>
      </c>
      <c r="C92" s="47" t="s">
        <v>163</v>
      </c>
      <c r="D92" s="48">
        <f>D79+D91</f>
        <v>14583964.083000001</v>
      </c>
      <c r="E92" s="48">
        <f>E79+E91</f>
        <v>6150000</v>
      </c>
      <c r="F92" s="48">
        <f t="shared" ref="F92:G92" si="18">F79+F91</f>
        <v>5223154.4000000004</v>
      </c>
      <c r="G92" s="48">
        <f t="shared" si="18"/>
        <v>485220</v>
      </c>
      <c r="H92" s="120">
        <f>H79+H91</f>
        <v>21846607</v>
      </c>
      <c r="I92" s="127">
        <f t="shared" si="14"/>
        <v>48288945.483000003</v>
      </c>
    </row>
    <row r="94" spans="1:10" x14ac:dyDescent="0.2">
      <c r="C94" s="103"/>
    </row>
    <row r="95" spans="1:10" x14ac:dyDescent="0.2">
      <c r="C95" s="103"/>
    </row>
  </sheetData>
  <mergeCells count="3">
    <mergeCell ref="B2:J2"/>
    <mergeCell ref="A4:C4"/>
    <mergeCell ref="A19:C1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56"/>
  <sheetViews>
    <sheetView zoomScale="110" zoomScaleNormal="110" workbookViewId="0">
      <selection activeCell="G57" sqref="G57"/>
    </sheetView>
  </sheetViews>
  <sheetFormatPr defaultRowHeight="15" x14ac:dyDescent="0.25"/>
  <cols>
    <col min="1" max="1" width="6.85546875" customWidth="1"/>
    <col min="2" max="2" width="45.7109375" customWidth="1"/>
    <col min="3" max="3" width="10.7109375" customWidth="1"/>
    <col min="4" max="4" width="20" customWidth="1"/>
    <col min="5" max="5" width="17" customWidth="1"/>
    <col min="6" max="6" width="18.140625" customWidth="1"/>
    <col min="7" max="7" width="15.42578125" bestFit="1" customWidth="1"/>
    <col min="9" max="9" width="15" customWidth="1"/>
  </cols>
  <sheetData>
    <row r="2" spans="1:11" ht="20.25" x14ac:dyDescent="0.3">
      <c r="B2" s="178" t="s">
        <v>413</v>
      </c>
      <c r="C2" s="178"/>
      <c r="D2" s="178"/>
      <c r="E2" s="178"/>
      <c r="F2" s="178"/>
      <c r="G2" s="178"/>
      <c r="H2" s="178"/>
      <c r="I2" s="178"/>
      <c r="J2" s="178"/>
      <c r="K2" s="178"/>
    </row>
    <row r="4" spans="1:11" ht="75" x14ac:dyDescent="0.25">
      <c r="A4" s="179" t="s">
        <v>192</v>
      </c>
      <c r="B4" s="179"/>
      <c r="C4" s="179"/>
      <c r="D4" s="19" t="s">
        <v>13</v>
      </c>
      <c r="I4" s="9" t="s">
        <v>228</v>
      </c>
    </row>
    <row r="5" spans="1:11" ht="30" x14ac:dyDescent="0.25">
      <c r="A5" s="50" t="s">
        <v>14</v>
      </c>
      <c r="B5" s="51" t="s">
        <v>74</v>
      </c>
      <c r="C5" s="52" t="s">
        <v>0</v>
      </c>
      <c r="D5" s="53" t="s">
        <v>6</v>
      </c>
      <c r="E5" s="53" t="s">
        <v>98</v>
      </c>
      <c r="I5" s="53">
        <v>104051</v>
      </c>
    </row>
    <row r="6" spans="1:11" x14ac:dyDescent="0.25">
      <c r="A6" s="54">
        <v>1</v>
      </c>
      <c r="B6" s="1" t="s">
        <v>193</v>
      </c>
      <c r="C6" s="1" t="s">
        <v>9</v>
      </c>
      <c r="D6" s="30">
        <v>16717957</v>
      </c>
      <c r="E6" s="30">
        <f>D6</f>
        <v>16717957</v>
      </c>
      <c r="I6" s="30"/>
    </row>
    <row r="7" spans="1:11" x14ac:dyDescent="0.25">
      <c r="A7" s="54">
        <v>2</v>
      </c>
      <c r="B7" s="1" t="s">
        <v>226</v>
      </c>
      <c r="C7" s="1" t="s">
        <v>227</v>
      </c>
      <c r="D7" s="30"/>
      <c r="E7" s="30"/>
      <c r="I7" s="30">
        <v>941500</v>
      </c>
    </row>
    <row r="8" spans="1:11" ht="15.75" x14ac:dyDescent="0.25">
      <c r="A8" s="33">
        <v>3</v>
      </c>
      <c r="B8" s="34" t="s">
        <v>98</v>
      </c>
      <c r="C8" s="35" t="s">
        <v>9</v>
      </c>
      <c r="D8" s="36">
        <f>SUM(D6:D6)</f>
        <v>16717957</v>
      </c>
      <c r="E8" s="36">
        <f>D8</f>
        <v>16717957</v>
      </c>
      <c r="I8" s="36">
        <f>SUM(I6:I7)</f>
        <v>941500</v>
      </c>
    </row>
    <row r="11" spans="1:11" ht="75.75" thickBot="1" x14ac:dyDescent="0.3">
      <c r="A11" s="179" t="s">
        <v>74</v>
      </c>
      <c r="B11" s="179"/>
      <c r="C11" s="179"/>
      <c r="D11" s="19" t="s">
        <v>403</v>
      </c>
      <c r="E11" s="19" t="s">
        <v>197</v>
      </c>
      <c r="F11" s="19" t="s">
        <v>198</v>
      </c>
      <c r="I11" s="9" t="s">
        <v>228</v>
      </c>
    </row>
    <row r="12" spans="1:11" ht="30" x14ac:dyDescent="0.25">
      <c r="A12" s="50" t="s">
        <v>14</v>
      </c>
      <c r="B12" s="52" t="s">
        <v>10</v>
      </c>
      <c r="C12" s="52" t="s">
        <v>0</v>
      </c>
      <c r="D12" s="62" t="s">
        <v>402</v>
      </c>
      <c r="E12" s="62">
        <v>107051</v>
      </c>
      <c r="F12" s="135">
        <v>107060</v>
      </c>
      <c r="G12" s="138" t="s">
        <v>98</v>
      </c>
      <c r="I12" s="53">
        <v>104051</v>
      </c>
    </row>
    <row r="13" spans="1:11" x14ac:dyDescent="0.25">
      <c r="A13" s="54">
        <v>1</v>
      </c>
      <c r="B13" s="1" t="s">
        <v>39</v>
      </c>
      <c r="C13" s="23" t="s">
        <v>115</v>
      </c>
      <c r="D13" s="30">
        <f>SUM(D14:D16)</f>
        <v>0</v>
      </c>
      <c r="E13" s="30">
        <f t="shared" ref="E13" si="0">SUM(E14:E16)</f>
        <v>0</v>
      </c>
      <c r="F13" s="114">
        <v>700000</v>
      </c>
      <c r="G13" s="139">
        <f t="shared" ref="G13:G29" si="1">SUM(D13:F13)</f>
        <v>700000</v>
      </c>
      <c r="I13" s="30">
        <f>SUM(I14:I16)</f>
        <v>0</v>
      </c>
    </row>
    <row r="14" spans="1:11" x14ac:dyDescent="0.25">
      <c r="A14" s="58">
        <v>2</v>
      </c>
      <c r="B14" s="4" t="s">
        <v>41</v>
      </c>
      <c r="C14" s="25"/>
      <c r="D14" s="30"/>
      <c r="E14" s="30">
        <v>0</v>
      </c>
      <c r="F14" s="114"/>
      <c r="G14" s="139">
        <f t="shared" si="1"/>
        <v>0</v>
      </c>
      <c r="I14" s="30"/>
    </row>
    <row r="15" spans="1:11" x14ac:dyDescent="0.25">
      <c r="A15" s="58">
        <v>3</v>
      </c>
      <c r="B15" s="4" t="s">
        <v>42</v>
      </c>
      <c r="C15" s="25"/>
      <c r="D15" s="30"/>
      <c r="E15" s="30"/>
      <c r="F15" s="114"/>
      <c r="G15" s="139">
        <f t="shared" si="1"/>
        <v>0</v>
      </c>
      <c r="I15" s="30"/>
    </row>
    <row r="16" spans="1:11" x14ac:dyDescent="0.25">
      <c r="A16" s="58">
        <v>4</v>
      </c>
      <c r="B16" s="4" t="s">
        <v>43</v>
      </c>
      <c r="C16" s="25"/>
      <c r="D16" s="30"/>
      <c r="E16" s="30">
        <v>0</v>
      </c>
      <c r="F16" s="114"/>
      <c r="G16" s="139">
        <f t="shared" si="1"/>
        <v>0</v>
      </c>
      <c r="I16" s="30"/>
    </row>
    <row r="17" spans="1:9" x14ac:dyDescent="0.25">
      <c r="A17" s="55">
        <v>5</v>
      </c>
      <c r="B17" s="2" t="s">
        <v>80</v>
      </c>
      <c r="C17" s="24" t="s">
        <v>116</v>
      </c>
      <c r="D17" s="30">
        <f>SUM(D13)</f>
        <v>0</v>
      </c>
      <c r="E17" s="30">
        <f t="shared" ref="E17:F17" si="2">SUM(E13)</f>
        <v>0</v>
      </c>
      <c r="F17" s="114">
        <f t="shared" si="2"/>
        <v>700000</v>
      </c>
      <c r="G17" s="139">
        <f t="shared" si="1"/>
        <v>700000</v>
      </c>
      <c r="I17" s="30">
        <f>SUM(I13)</f>
        <v>0</v>
      </c>
    </row>
    <row r="18" spans="1:9" x14ac:dyDescent="0.25">
      <c r="A18" s="54">
        <v>6</v>
      </c>
      <c r="B18" s="1" t="s">
        <v>55</v>
      </c>
      <c r="C18" s="23" t="s">
        <v>123</v>
      </c>
      <c r="D18" s="30"/>
      <c r="E18" s="30">
        <v>0</v>
      </c>
      <c r="F18" s="114"/>
      <c r="G18" s="139">
        <f t="shared" si="1"/>
        <v>0</v>
      </c>
      <c r="I18" s="30"/>
    </row>
    <row r="19" spans="1:9" ht="28.5" x14ac:dyDescent="0.25">
      <c r="A19" s="54">
        <v>7</v>
      </c>
      <c r="B19" s="1" t="s">
        <v>377</v>
      </c>
      <c r="C19" s="23" t="s">
        <v>125</v>
      </c>
      <c r="D19" s="30">
        <v>950996</v>
      </c>
      <c r="E19" s="30"/>
      <c r="F19" s="114"/>
      <c r="G19" s="139">
        <f t="shared" si="1"/>
        <v>950996</v>
      </c>
      <c r="I19" s="30"/>
    </row>
    <row r="20" spans="1:9" x14ac:dyDescent="0.25">
      <c r="A20" s="54">
        <v>8</v>
      </c>
      <c r="B20" s="1" t="s">
        <v>84</v>
      </c>
      <c r="C20" s="23" t="s">
        <v>126</v>
      </c>
      <c r="D20" s="30">
        <f>SUM(D21:D23)</f>
        <v>0</v>
      </c>
      <c r="E20" s="30">
        <f t="shared" ref="E20" si="3">SUM(E21:E23)</f>
        <v>0</v>
      </c>
      <c r="F20" s="114">
        <v>0</v>
      </c>
      <c r="G20" s="139">
        <f t="shared" si="1"/>
        <v>0</v>
      </c>
      <c r="I20" s="30">
        <f>SUM(I21:I23)</f>
        <v>0</v>
      </c>
    </row>
    <row r="21" spans="1:9" x14ac:dyDescent="0.25">
      <c r="A21" s="58">
        <v>9</v>
      </c>
      <c r="B21" s="4" t="s">
        <v>160</v>
      </c>
      <c r="C21" s="25"/>
      <c r="D21" s="30"/>
      <c r="E21" s="30"/>
      <c r="F21" s="114"/>
      <c r="G21" s="139">
        <f t="shared" si="1"/>
        <v>0</v>
      </c>
      <c r="I21" s="30"/>
    </row>
    <row r="22" spans="1:9" x14ac:dyDescent="0.25">
      <c r="A22" s="58">
        <v>10</v>
      </c>
      <c r="B22" s="4" t="s">
        <v>199</v>
      </c>
      <c r="C22" s="25"/>
      <c r="D22" s="30"/>
      <c r="E22" s="30"/>
      <c r="F22" s="114">
        <v>0</v>
      </c>
      <c r="G22" s="139">
        <f t="shared" si="1"/>
        <v>0</v>
      </c>
      <c r="I22" s="30"/>
    </row>
    <row r="23" spans="1:9" x14ac:dyDescent="0.25">
      <c r="A23" s="57">
        <v>11</v>
      </c>
      <c r="B23" s="3" t="s">
        <v>156</v>
      </c>
      <c r="C23" s="25"/>
      <c r="D23" s="30"/>
      <c r="E23" s="30">
        <v>0</v>
      </c>
      <c r="F23" s="114"/>
      <c r="G23" s="139">
        <f t="shared" si="1"/>
        <v>0</v>
      </c>
      <c r="I23" s="30"/>
    </row>
    <row r="24" spans="1:9" x14ac:dyDescent="0.25">
      <c r="A24" s="55">
        <v>12</v>
      </c>
      <c r="B24" s="2" t="s">
        <v>85</v>
      </c>
      <c r="C24" s="24" t="s">
        <v>127</v>
      </c>
      <c r="D24" s="30">
        <f>SUM(D18:D20)</f>
        <v>950996</v>
      </c>
      <c r="E24" s="30">
        <f t="shared" ref="E24:F24" si="4">SUM(E18:E20)</f>
        <v>0</v>
      </c>
      <c r="F24" s="114">
        <f t="shared" si="4"/>
        <v>0</v>
      </c>
      <c r="G24" s="139">
        <f t="shared" si="1"/>
        <v>950996</v>
      </c>
      <c r="I24" s="30">
        <f>SUM(I18:I20)</f>
        <v>0</v>
      </c>
    </row>
    <row r="25" spans="1:9" ht="28.5" x14ac:dyDescent="0.25">
      <c r="A25" s="54">
        <v>13</v>
      </c>
      <c r="B25" s="1" t="s">
        <v>59</v>
      </c>
      <c r="C25" s="23" t="s">
        <v>131</v>
      </c>
      <c r="D25" s="30"/>
      <c r="E25" s="30">
        <v>0</v>
      </c>
      <c r="F25" s="114">
        <v>150000</v>
      </c>
      <c r="G25" s="139">
        <f t="shared" si="1"/>
        <v>150000</v>
      </c>
      <c r="I25" s="30"/>
    </row>
    <row r="26" spans="1:9" x14ac:dyDescent="0.25">
      <c r="A26" s="54">
        <v>14</v>
      </c>
      <c r="B26" s="1" t="s">
        <v>61</v>
      </c>
      <c r="C26" s="23" t="s">
        <v>134</v>
      </c>
      <c r="D26" s="30"/>
      <c r="E26" s="30"/>
      <c r="F26" s="114"/>
      <c r="G26" s="139">
        <f t="shared" si="1"/>
        <v>0</v>
      </c>
      <c r="I26" s="30"/>
    </row>
    <row r="27" spans="1:9" ht="30" x14ac:dyDescent="0.25">
      <c r="A27" s="55">
        <v>15</v>
      </c>
      <c r="B27" s="2" t="s">
        <v>88</v>
      </c>
      <c r="C27" s="24" t="s">
        <v>135</v>
      </c>
      <c r="D27" s="30">
        <f>SUM(D25:D26)</f>
        <v>0</v>
      </c>
      <c r="E27" s="30">
        <f>SUM(E25:E26)</f>
        <v>0</v>
      </c>
      <c r="F27" s="114">
        <f>SUM(F25:F26)</f>
        <v>150000</v>
      </c>
      <c r="G27" s="139">
        <f t="shared" si="1"/>
        <v>150000</v>
      </c>
      <c r="I27" s="30">
        <f>SUM(I25:I26)</f>
        <v>0</v>
      </c>
    </row>
    <row r="28" spans="1:9" x14ac:dyDescent="0.25">
      <c r="A28" s="70">
        <v>16</v>
      </c>
      <c r="B28" s="63" t="s">
        <v>89</v>
      </c>
      <c r="C28" s="29" t="s">
        <v>136</v>
      </c>
      <c r="D28" s="101">
        <f>D17+D24+D27</f>
        <v>950996</v>
      </c>
      <c r="E28" s="101">
        <f>E17+E24+E27</f>
        <v>0</v>
      </c>
      <c r="F28" s="136">
        <f>F17+F24+F27</f>
        <v>850000</v>
      </c>
      <c r="G28" s="140">
        <f t="shared" si="1"/>
        <v>1800996</v>
      </c>
      <c r="I28" s="101">
        <f>I17+I24+I27</f>
        <v>0</v>
      </c>
    </row>
    <row r="29" spans="1:9" x14ac:dyDescent="0.25">
      <c r="A29" s="54">
        <v>17</v>
      </c>
      <c r="B29" s="1" t="s">
        <v>230</v>
      </c>
      <c r="C29" s="23" t="s">
        <v>231</v>
      </c>
      <c r="D29" s="30">
        <f>D30</f>
        <v>0</v>
      </c>
      <c r="E29" s="30">
        <f t="shared" ref="E29:F29" si="5">E30</f>
        <v>0</v>
      </c>
      <c r="F29" s="114">
        <f t="shared" si="5"/>
        <v>0</v>
      </c>
      <c r="G29" s="139">
        <f t="shared" si="1"/>
        <v>0</v>
      </c>
      <c r="I29" s="30">
        <f>I30</f>
        <v>941500</v>
      </c>
    </row>
    <row r="30" spans="1:9" s="71" customFormat="1" ht="28.5" x14ac:dyDescent="0.25">
      <c r="A30" s="58">
        <v>18</v>
      </c>
      <c r="B30" s="4" t="s">
        <v>232</v>
      </c>
      <c r="C30" s="25"/>
      <c r="D30" s="39"/>
      <c r="E30" s="39"/>
      <c r="G30" s="139">
        <f>SUM(D30:E30)</f>
        <v>0</v>
      </c>
      <c r="I30" s="39">
        <v>941500</v>
      </c>
    </row>
    <row r="31" spans="1:9" x14ac:dyDescent="0.25">
      <c r="A31" s="59">
        <v>19</v>
      </c>
      <c r="B31" s="6" t="s">
        <v>90</v>
      </c>
      <c r="C31" s="26" t="s">
        <v>137</v>
      </c>
      <c r="D31" s="30">
        <f>SUM(D32:D38)</f>
        <v>0</v>
      </c>
      <c r="E31" s="30">
        <f>SUM(E32:E38)</f>
        <v>0</v>
      </c>
      <c r="F31" s="114">
        <f>SUM(F32:F34)+F38</f>
        <v>5915000</v>
      </c>
      <c r="G31" s="139">
        <f t="shared" ref="G31:G50" si="6">SUM(D31:F31)</f>
        <v>5915000</v>
      </c>
      <c r="I31" s="30">
        <f>SUM(I32:I38)</f>
        <v>0</v>
      </c>
    </row>
    <row r="32" spans="1:9" ht="28.5" x14ac:dyDescent="0.25">
      <c r="A32" s="65">
        <v>20</v>
      </c>
      <c r="B32" s="7" t="s">
        <v>417</v>
      </c>
      <c r="C32" s="25"/>
      <c r="D32" s="30"/>
      <c r="E32" s="30"/>
      <c r="F32" s="114">
        <v>375000</v>
      </c>
      <c r="G32" s="139">
        <f t="shared" si="6"/>
        <v>375000</v>
      </c>
      <c r="I32" s="30"/>
    </row>
    <row r="33" spans="1:9" x14ac:dyDescent="0.25">
      <c r="A33" s="65">
        <v>21</v>
      </c>
      <c r="B33" s="7" t="s">
        <v>91</v>
      </c>
      <c r="C33" s="25"/>
      <c r="D33" s="30"/>
      <c r="E33" s="30"/>
      <c r="F33" s="117">
        <v>400000</v>
      </c>
      <c r="G33" s="142">
        <f t="shared" si="6"/>
        <v>400000</v>
      </c>
      <c r="I33" s="30"/>
    </row>
    <row r="34" spans="1:9" x14ac:dyDescent="0.25">
      <c r="A34" s="68">
        <v>23</v>
      </c>
      <c r="B34" s="69" t="s">
        <v>404</v>
      </c>
      <c r="C34" s="25"/>
      <c r="D34" s="30"/>
      <c r="E34" s="30"/>
      <c r="F34" s="117">
        <f>SUM(F35:F37)</f>
        <v>4140000</v>
      </c>
      <c r="G34" s="142">
        <f t="shared" si="6"/>
        <v>4140000</v>
      </c>
      <c r="I34" s="30"/>
    </row>
    <row r="35" spans="1:9" s="71" customFormat="1" x14ac:dyDescent="0.25">
      <c r="A35" s="68"/>
      <c r="B35" s="169" t="s">
        <v>387</v>
      </c>
      <c r="C35" s="170"/>
      <c r="D35" s="171"/>
      <c r="E35" s="171"/>
      <c r="F35" s="172">
        <v>80000</v>
      </c>
      <c r="G35" s="173">
        <f t="shared" si="6"/>
        <v>80000</v>
      </c>
      <c r="I35" s="39"/>
    </row>
    <row r="36" spans="1:9" s="71" customFormat="1" x14ac:dyDescent="0.25">
      <c r="A36" s="68"/>
      <c r="B36" s="169" t="s">
        <v>388</v>
      </c>
      <c r="C36" s="170"/>
      <c r="D36" s="171"/>
      <c r="E36" s="171"/>
      <c r="F36" s="172">
        <v>760000</v>
      </c>
      <c r="G36" s="173">
        <f t="shared" si="6"/>
        <v>760000</v>
      </c>
      <c r="I36" s="39"/>
    </row>
    <row r="37" spans="1:9" s="71" customFormat="1" x14ac:dyDescent="0.25">
      <c r="A37" s="68"/>
      <c r="B37" s="169" t="s">
        <v>416</v>
      </c>
      <c r="C37" s="170"/>
      <c r="D37" s="171"/>
      <c r="E37" s="171"/>
      <c r="F37" s="172">
        <v>3300000</v>
      </c>
      <c r="G37" s="173">
        <f t="shared" si="6"/>
        <v>3300000</v>
      </c>
      <c r="I37" s="39"/>
    </row>
    <row r="38" spans="1:9" ht="38.25" x14ac:dyDescent="0.25">
      <c r="A38" s="65">
        <v>22</v>
      </c>
      <c r="B38" s="174" t="s">
        <v>427</v>
      </c>
      <c r="C38" s="170"/>
      <c r="D38" s="175"/>
      <c r="E38" s="175"/>
      <c r="F38" s="176">
        <v>1000000</v>
      </c>
      <c r="G38" s="177">
        <f t="shared" si="6"/>
        <v>1000000</v>
      </c>
      <c r="I38" s="30"/>
    </row>
    <row r="39" spans="1:9" x14ac:dyDescent="0.25">
      <c r="A39" s="64">
        <v>24</v>
      </c>
      <c r="B39" s="63" t="s">
        <v>92</v>
      </c>
      <c r="C39" s="29" t="s">
        <v>138</v>
      </c>
      <c r="D39" s="101">
        <f>SUM(D31)+D29</f>
        <v>0</v>
      </c>
      <c r="E39" s="101">
        <f>SUM(E31)+E29</f>
        <v>0</v>
      </c>
      <c r="F39" s="136">
        <f>SUM(F31)+F29</f>
        <v>5915000</v>
      </c>
      <c r="G39" s="140">
        <f t="shared" si="6"/>
        <v>5915000</v>
      </c>
      <c r="I39" s="101">
        <f>SUM(I31)+I29</f>
        <v>941500</v>
      </c>
    </row>
    <row r="40" spans="1:9" ht="28.5" x14ac:dyDescent="0.25">
      <c r="A40" s="59">
        <v>25</v>
      </c>
      <c r="B40" s="6" t="s">
        <v>93</v>
      </c>
      <c r="C40" s="23" t="s">
        <v>139</v>
      </c>
      <c r="D40" s="30">
        <f>SUM(D41)</f>
        <v>7454000</v>
      </c>
      <c r="E40" s="30">
        <f t="shared" ref="E40" si="7">SUM(E41)</f>
        <v>0</v>
      </c>
      <c r="F40" s="114">
        <f>SUM(F41:F42)</f>
        <v>373500</v>
      </c>
      <c r="G40" s="139">
        <f t="shared" si="6"/>
        <v>7827500</v>
      </c>
      <c r="I40" s="30">
        <f>SUM(I41)</f>
        <v>0</v>
      </c>
    </row>
    <row r="41" spans="1:9" x14ac:dyDescent="0.25">
      <c r="A41" s="65">
        <v>26</v>
      </c>
      <c r="B41" s="7" t="s">
        <v>62</v>
      </c>
      <c r="C41" s="25"/>
      <c r="D41" s="102">
        <f>7049000-1500000+190500*10</f>
        <v>7454000</v>
      </c>
      <c r="E41" s="30"/>
      <c r="F41" s="114"/>
      <c r="G41" s="139">
        <f t="shared" si="6"/>
        <v>7454000</v>
      </c>
      <c r="I41" s="30"/>
    </row>
    <row r="42" spans="1:9" x14ac:dyDescent="0.25">
      <c r="A42" s="65"/>
      <c r="B42" s="7" t="s">
        <v>376</v>
      </c>
      <c r="C42" s="25"/>
      <c r="D42" s="30"/>
      <c r="E42" s="30"/>
      <c r="F42" s="114">
        <v>373500</v>
      </c>
      <c r="G42" s="139">
        <f t="shared" si="6"/>
        <v>373500</v>
      </c>
      <c r="I42" s="30"/>
    </row>
    <row r="43" spans="1:9" ht="28.5" x14ac:dyDescent="0.25">
      <c r="A43" s="59"/>
      <c r="B43" s="6" t="s">
        <v>342</v>
      </c>
      <c r="C43" s="23" t="s">
        <v>310</v>
      </c>
      <c r="D43" s="30"/>
      <c r="E43" s="30"/>
      <c r="F43" s="114">
        <f>SUM(F44)</f>
        <v>2000000</v>
      </c>
      <c r="G43" s="139">
        <f t="shared" si="6"/>
        <v>2000000</v>
      </c>
      <c r="I43" s="30"/>
    </row>
    <row r="44" spans="1:9" x14ac:dyDescent="0.25">
      <c r="A44" s="65"/>
      <c r="B44" s="7" t="s">
        <v>430</v>
      </c>
      <c r="C44" s="25"/>
      <c r="D44" s="30"/>
      <c r="E44" s="30"/>
      <c r="F44" s="114">
        <v>2000000</v>
      </c>
      <c r="G44" s="139">
        <f t="shared" si="6"/>
        <v>2000000</v>
      </c>
      <c r="I44" s="30"/>
    </row>
    <row r="45" spans="1:9" x14ac:dyDescent="0.25">
      <c r="A45" s="59">
        <v>27</v>
      </c>
      <c r="B45" s="6" t="s">
        <v>63</v>
      </c>
      <c r="C45" s="23" t="s">
        <v>141</v>
      </c>
      <c r="D45" s="30"/>
      <c r="E45" s="30"/>
      <c r="F45" s="165"/>
      <c r="G45" s="139">
        <f t="shared" si="6"/>
        <v>0</v>
      </c>
      <c r="I45" s="30"/>
    </row>
    <row r="46" spans="1:9" x14ac:dyDescent="0.25">
      <c r="A46" s="64">
        <v>28</v>
      </c>
      <c r="B46" s="63" t="s">
        <v>94</v>
      </c>
      <c r="C46" s="29" t="s">
        <v>142</v>
      </c>
      <c r="D46" s="101">
        <f>D40+D45</f>
        <v>7454000</v>
      </c>
      <c r="E46" s="101">
        <f t="shared" ref="E46" si="8">E40+E45</f>
        <v>0</v>
      </c>
      <c r="F46" s="136">
        <f>F40+F43+F45</f>
        <v>2373500</v>
      </c>
      <c r="G46" s="140">
        <f t="shared" si="6"/>
        <v>9827500</v>
      </c>
      <c r="I46" s="101">
        <f>I40+I45</f>
        <v>0</v>
      </c>
    </row>
    <row r="47" spans="1:9" ht="31.5" x14ac:dyDescent="0.25">
      <c r="A47" s="42">
        <v>29</v>
      </c>
      <c r="B47" s="37" t="s">
        <v>64</v>
      </c>
      <c r="C47" s="66" t="s">
        <v>200</v>
      </c>
      <c r="D47" s="38">
        <f>D28+D39+D46</f>
        <v>8404996</v>
      </c>
      <c r="E47" s="38">
        <f>E28+E39+E46</f>
        <v>0</v>
      </c>
      <c r="F47" s="116">
        <f>F28+F39+F46</f>
        <v>9138500</v>
      </c>
      <c r="G47" s="123">
        <f t="shared" si="6"/>
        <v>17543496</v>
      </c>
      <c r="I47" s="38">
        <f>I28+I39+I46</f>
        <v>941500</v>
      </c>
    </row>
    <row r="48" spans="1:9" x14ac:dyDescent="0.25">
      <c r="A48" s="59">
        <v>30</v>
      </c>
      <c r="B48" s="6" t="s">
        <v>65</v>
      </c>
      <c r="C48" s="23" t="s">
        <v>144</v>
      </c>
      <c r="D48" s="30"/>
      <c r="E48" s="30"/>
      <c r="F48" s="114"/>
      <c r="G48" s="139">
        <f t="shared" si="6"/>
        <v>0</v>
      </c>
      <c r="I48" s="30"/>
    </row>
    <row r="49" spans="1:9" x14ac:dyDescent="0.25">
      <c r="A49" s="59">
        <v>31</v>
      </c>
      <c r="B49" s="6" t="s">
        <v>95</v>
      </c>
      <c r="C49" s="23" t="s">
        <v>145</v>
      </c>
      <c r="D49" s="30"/>
      <c r="E49" s="30"/>
      <c r="F49" s="114"/>
      <c r="G49" s="139">
        <f t="shared" si="6"/>
        <v>0</v>
      </c>
      <c r="I49" s="30"/>
    </row>
    <row r="50" spans="1:9" x14ac:dyDescent="0.25">
      <c r="A50" s="54">
        <v>32</v>
      </c>
      <c r="B50" s="1" t="s">
        <v>66</v>
      </c>
      <c r="C50" s="23" t="s">
        <v>146</v>
      </c>
      <c r="D50" s="30"/>
      <c r="E50" s="30"/>
      <c r="F50" s="114"/>
      <c r="G50" s="139">
        <f t="shared" si="6"/>
        <v>0</v>
      </c>
      <c r="I50" s="30"/>
    </row>
    <row r="51" spans="1:9" x14ac:dyDescent="0.25">
      <c r="A51" s="59">
        <v>33</v>
      </c>
      <c r="B51" s="6" t="s">
        <v>67</v>
      </c>
      <c r="C51" s="23" t="s">
        <v>147</v>
      </c>
      <c r="D51" s="30"/>
      <c r="E51" s="30"/>
      <c r="F51" s="137"/>
      <c r="G51" s="139">
        <f>SUM(D51:E51)</f>
        <v>0</v>
      </c>
      <c r="I51" s="30"/>
    </row>
    <row r="52" spans="1:9" ht="28.5" x14ac:dyDescent="0.25">
      <c r="A52" s="54">
        <v>34</v>
      </c>
      <c r="B52" s="1" t="s">
        <v>68</v>
      </c>
      <c r="C52" s="23" t="s">
        <v>148</v>
      </c>
      <c r="D52" s="30"/>
      <c r="E52" s="30"/>
      <c r="F52" s="137"/>
      <c r="G52" s="139">
        <f>SUM(D52:E52)</f>
        <v>0</v>
      </c>
      <c r="I52" s="30"/>
    </row>
    <row r="53" spans="1:9" x14ac:dyDescent="0.25">
      <c r="A53" s="64">
        <v>35</v>
      </c>
      <c r="B53" s="63" t="s">
        <v>96</v>
      </c>
      <c r="C53" s="29" t="s">
        <v>149</v>
      </c>
      <c r="D53" s="101">
        <f>SUM(D48:D52)</f>
        <v>0</v>
      </c>
      <c r="E53" s="101">
        <f>SUM(E48:E52)</f>
        <v>0</v>
      </c>
      <c r="F53" s="136">
        <f t="shared" ref="F53" si="9">SUM(F48:F52)</f>
        <v>0</v>
      </c>
      <c r="G53" s="140">
        <f>SUM(D53:F53)</f>
        <v>0</v>
      </c>
      <c r="I53" s="101">
        <f>SUM(I48:I52)</f>
        <v>0</v>
      </c>
    </row>
    <row r="54" spans="1:9" ht="32.25" thickBot="1" x14ac:dyDescent="0.3">
      <c r="A54" s="42">
        <v>36</v>
      </c>
      <c r="B54" s="37" t="s">
        <v>73</v>
      </c>
      <c r="C54" s="66" t="s">
        <v>149</v>
      </c>
      <c r="D54" s="38">
        <f>D53</f>
        <v>0</v>
      </c>
      <c r="E54" s="38">
        <f t="shared" ref="E54" si="10">E53</f>
        <v>0</v>
      </c>
      <c r="F54" s="116">
        <f>F53</f>
        <v>0</v>
      </c>
      <c r="G54" s="123">
        <f>SUM(D54:F54)</f>
        <v>0</v>
      </c>
      <c r="I54" s="38">
        <f>I53</f>
        <v>0</v>
      </c>
    </row>
    <row r="55" spans="1:9" ht="18.75" thickBot="1" x14ac:dyDescent="0.3">
      <c r="A55" s="60">
        <v>37</v>
      </c>
      <c r="B55" s="47" t="s">
        <v>162</v>
      </c>
      <c r="C55" s="47" t="s">
        <v>163</v>
      </c>
      <c r="D55" s="48">
        <f>D47+D54</f>
        <v>8404996</v>
      </c>
      <c r="E55" s="48">
        <f>E47+E54</f>
        <v>0</v>
      </c>
      <c r="F55" s="120">
        <f>F47+F54</f>
        <v>9138500</v>
      </c>
      <c r="G55" s="127">
        <f>SUM(D55:F55)</f>
        <v>17543496</v>
      </c>
      <c r="I55" s="48">
        <f t="shared" ref="I55" si="11">I47+I54</f>
        <v>941500</v>
      </c>
    </row>
    <row r="56" spans="1:9" x14ac:dyDescent="0.25">
      <c r="F56" s="111"/>
      <c r="G56" s="112">
        <f>+E8-G55</f>
        <v>-825539</v>
      </c>
    </row>
  </sheetData>
  <mergeCells count="3">
    <mergeCell ref="B2:K2"/>
    <mergeCell ref="A4:C4"/>
    <mergeCell ref="A11:C11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76"/>
  <sheetViews>
    <sheetView topLeftCell="A62" zoomScale="110" zoomScaleNormal="110" workbookViewId="0">
      <selection activeCell="F58" sqref="F58"/>
    </sheetView>
  </sheetViews>
  <sheetFormatPr defaultRowHeight="15" x14ac:dyDescent="0.25"/>
  <cols>
    <col min="1" max="1" width="6.85546875" customWidth="1"/>
    <col min="2" max="2" width="44.5703125" bestFit="1" customWidth="1"/>
    <col min="3" max="3" width="10.7109375" customWidth="1"/>
    <col min="4" max="4" width="20" customWidth="1"/>
    <col min="5" max="5" width="15.5703125" customWidth="1"/>
    <col min="6" max="6" width="18.140625" customWidth="1"/>
    <col min="7" max="7" width="13.85546875" bestFit="1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60" x14ac:dyDescent="0.25">
      <c r="A4" s="179" t="s">
        <v>184</v>
      </c>
      <c r="B4" s="179"/>
      <c r="C4" s="179"/>
      <c r="D4" s="19" t="s">
        <v>13</v>
      </c>
    </row>
    <row r="5" spans="1:11" ht="30" x14ac:dyDescent="0.25">
      <c r="A5" s="50" t="s">
        <v>14</v>
      </c>
      <c r="B5" s="51" t="s">
        <v>75</v>
      </c>
      <c r="C5" s="52" t="s">
        <v>0</v>
      </c>
      <c r="D5" s="53" t="s">
        <v>6</v>
      </c>
    </row>
    <row r="6" spans="1:11" ht="28.5" x14ac:dyDescent="0.25">
      <c r="A6" s="54">
        <v>1</v>
      </c>
      <c r="B6" s="1" t="s">
        <v>185</v>
      </c>
      <c r="C6" s="1" t="s">
        <v>195</v>
      </c>
      <c r="D6" s="30">
        <v>2326830</v>
      </c>
    </row>
    <row r="7" spans="1:11" ht="15.75" x14ac:dyDescent="0.25">
      <c r="A7" s="33">
        <v>2</v>
      </c>
      <c r="B7" s="34" t="s">
        <v>98</v>
      </c>
      <c r="C7" s="35" t="s">
        <v>196</v>
      </c>
      <c r="D7" s="36">
        <f>SUM(D6:D6)</f>
        <v>2326830</v>
      </c>
    </row>
    <row r="10" spans="1:11" ht="90.75" thickBot="1" x14ac:dyDescent="0.3">
      <c r="A10" s="179" t="s">
        <v>74</v>
      </c>
      <c r="B10" s="179"/>
      <c r="C10" s="179"/>
      <c r="D10" s="19" t="s">
        <v>179</v>
      </c>
      <c r="E10" s="19" t="s">
        <v>180</v>
      </c>
      <c r="F10" s="19" t="s">
        <v>183</v>
      </c>
    </row>
    <row r="11" spans="1:11" ht="30" x14ac:dyDescent="0.25">
      <c r="A11" s="10" t="s">
        <v>14</v>
      </c>
      <c r="B11" s="20" t="s">
        <v>10</v>
      </c>
      <c r="C11" s="20" t="s">
        <v>0</v>
      </c>
      <c r="D11" s="13" t="s">
        <v>178</v>
      </c>
      <c r="E11" s="13" t="s">
        <v>181</v>
      </c>
      <c r="F11" s="113" t="s">
        <v>182</v>
      </c>
      <c r="G11" s="141" t="s">
        <v>98</v>
      </c>
    </row>
    <row r="12" spans="1:11" x14ac:dyDescent="0.25">
      <c r="A12" s="56">
        <v>1</v>
      </c>
      <c r="B12" s="23" t="s">
        <v>26</v>
      </c>
      <c r="C12" s="22" t="s">
        <v>99</v>
      </c>
      <c r="D12" s="30"/>
      <c r="E12" s="30">
        <f>90300+97500*11</f>
        <v>1162800</v>
      </c>
      <c r="F12" s="114">
        <f>180500+195000*11</f>
        <v>2325500</v>
      </c>
      <c r="G12" s="139">
        <f>SUM(D12:F12)</f>
        <v>3488300</v>
      </c>
    </row>
    <row r="13" spans="1:11" x14ac:dyDescent="0.25">
      <c r="A13" s="54">
        <v>2</v>
      </c>
      <c r="B13" s="1" t="s">
        <v>27</v>
      </c>
      <c r="C13" s="23" t="s">
        <v>100</v>
      </c>
      <c r="D13" s="30"/>
      <c r="E13" s="30">
        <v>126600</v>
      </c>
      <c r="F13" s="114">
        <v>0</v>
      </c>
      <c r="G13" s="139">
        <f t="shared" ref="G13:G73" si="0">SUM(D13:F13)</f>
        <v>126600</v>
      </c>
    </row>
    <row r="14" spans="1:11" x14ac:dyDescent="0.25">
      <c r="A14" s="54">
        <v>3</v>
      </c>
      <c r="B14" s="1" t="s">
        <v>28</v>
      </c>
      <c r="C14" s="23" t="s">
        <v>101</v>
      </c>
      <c r="D14" s="30"/>
      <c r="E14" s="30">
        <v>15000</v>
      </c>
      <c r="F14" s="114">
        <v>0</v>
      </c>
      <c r="G14" s="139">
        <f t="shared" si="0"/>
        <v>15000</v>
      </c>
    </row>
    <row r="15" spans="1:11" x14ac:dyDescent="0.25">
      <c r="A15" s="55">
        <v>4</v>
      </c>
      <c r="B15" s="2" t="s">
        <v>76</v>
      </c>
      <c r="C15" s="24" t="s">
        <v>103</v>
      </c>
      <c r="D15" s="30">
        <f>SUM(D12:D14)</f>
        <v>0</v>
      </c>
      <c r="E15" s="30">
        <f>SUM(E12:E14)</f>
        <v>1304400</v>
      </c>
      <c r="F15" s="114">
        <f>SUM(F12:F14)</f>
        <v>2325500</v>
      </c>
      <c r="G15" s="139">
        <f t="shared" si="0"/>
        <v>3629900</v>
      </c>
    </row>
    <row r="16" spans="1:11" ht="15.75" x14ac:dyDescent="0.25">
      <c r="A16" s="41">
        <v>5</v>
      </c>
      <c r="B16" s="27" t="s">
        <v>78</v>
      </c>
      <c r="C16" s="27" t="s">
        <v>108</v>
      </c>
      <c r="D16" s="31">
        <f>D15</f>
        <v>0</v>
      </c>
      <c r="E16" s="31">
        <f>E15</f>
        <v>1304400</v>
      </c>
      <c r="F16" s="115">
        <f>F15</f>
        <v>2325500</v>
      </c>
      <c r="G16" s="122">
        <f t="shared" si="0"/>
        <v>3629900</v>
      </c>
    </row>
    <row r="17" spans="1:7" ht="31.5" x14ac:dyDescent="0.25">
      <c r="A17" s="41">
        <v>6</v>
      </c>
      <c r="B17" s="27" t="s">
        <v>79</v>
      </c>
      <c r="C17" s="27" t="s">
        <v>109</v>
      </c>
      <c r="D17" s="31">
        <f>SUM(D18:D20)</f>
        <v>0</v>
      </c>
      <c r="E17" s="31">
        <f>SUM(E18:E20)</f>
        <v>270423</v>
      </c>
      <c r="F17" s="115">
        <f>SUM(F18:F20)</f>
        <v>453472.5</v>
      </c>
      <c r="G17" s="122">
        <f t="shared" si="0"/>
        <v>723895.5</v>
      </c>
    </row>
    <row r="18" spans="1:7" x14ac:dyDescent="0.25">
      <c r="A18" s="57">
        <v>7</v>
      </c>
      <c r="B18" s="3" t="s">
        <v>32</v>
      </c>
      <c r="C18" s="25" t="s">
        <v>110</v>
      </c>
      <c r="D18" s="30"/>
      <c r="E18" s="30">
        <f>+E12*0.195+E13*0.195</f>
        <v>251433</v>
      </c>
      <c r="F18" s="114">
        <f>+F12*0.195</f>
        <v>453472.5</v>
      </c>
      <c r="G18" s="139">
        <f t="shared" si="0"/>
        <v>704905.5</v>
      </c>
    </row>
    <row r="19" spans="1:7" x14ac:dyDescent="0.25">
      <c r="A19" s="57">
        <v>8</v>
      </c>
      <c r="B19" s="3" t="s">
        <v>33</v>
      </c>
      <c r="C19" s="25" t="s">
        <v>111</v>
      </c>
      <c r="D19" s="30"/>
      <c r="E19" s="30">
        <v>0</v>
      </c>
      <c r="F19" s="114">
        <v>0</v>
      </c>
      <c r="G19" s="139">
        <f t="shared" si="0"/>
        <v>0</v>
      </c>
    </row>
    <row r="20" spans="1:7" ht="28.5" x14ac:dyDescent="0.25">
      <c r="A20" s="57">
        <v>9</v>
      </c>
      <c r="B20" s="3" t="s">
        <v>34</v>
      </c>
      <c r="C20" s="25" t="s">
        <v>112</v>
      </c>
      <c r="D20" s="30"/>
      <c r="E20" s="30">
        <f>+E13*0.15</f>
        <v>18990</v>
      </c>
      <c r="F20" s="114">
        <v>0</v>
      </c>
      <c r="G20" s="139">
        <f t="shared" si="0"/>
        <v>18990</v>
      </c>
    </row>
    <row r="21" spans="1:7" ht="31.5" x14ac:dyDescent="0.25">
      <c r="A21" s="42">
        <v>10</v>
      </c>
      <c r="B21" s="37" t="s">
        <v>35</v>
      </c>
      <c r="C21" s="37" t="s">
        <v>113</v>
      </c>
      <c r="D21" s="38">
        <f>D16+D17</f>
        <v>0</v>
      </c>
      <c r="E21" s="38">
        <f>E16+E17</f>
        <v>1574823</v>
      </c>
      <c r="F21" s="116">
        <f>F16+F17</f>
        <v>2778972.5</v>
      </c>
      <c r="G21" s="123">
        <f t="shared" si="0"/>
        <v>4353795.5</v>
      </c>
    </row>
    <row r="22" spans="1:7" x14ac:dyDescent="0.25">
      <c r="A22" s="54">
        <v>11</v>
      </c>
      <c r="B22" s="1" t="s">
        <v>36</v>
      </c>
      <c r="C22" s="23" t="s">
        <v>114</v>
      </c>
      <c r="D22" s="30">
        <f>SUM(D23:D24)</f>
        <v>200000</v>
      </c>
      <c r="E22" s="30">
        <f>SUM(E23:E24)</f>
        <v>0</v>
      </c>
      <c r="F22" s="114">
        <f>SUM(F23:F24)</f>
        <v>0</v>
      </c>
      <c r="G22" s="139">
        <f t="shared" si="0"/>
        <v>200000</v>
      </c>
    </row>
    <row r="23" spans="1:7" x14ac:dyDescent="0.25">
      <c r="A23" s="58">
        <v>12</v>
      </c>
      <c r="B23" s="4" t="s">
        <v>37</v>
      </c>
      <c r="C23" s="25"/>
      <c r="D23" s="39"/>
      <c r="E23" s="39"/>
      <c r="F23" s="117"/>
      <c r="G23" s="142">
        <f t="shared" si="0"/>
        <v>0</v>
      </c>
    </row>
    <row r="24" spans="1:7" x14ac:dyDescent="0.25">
      <c r="A24" s="58">
        <v>13</v>
      </c>
      <c r="B24" s="4" t="s">
        <v>38</v>
      </c>
      <c r="C24" s="25"/>
      <c r="D24" s="39">
        <v>200000</v>
      </c>
      <c r="E24" s="39"/>
      <c r="F24" s="117"/>
      <c r="G24" s="142">
        <f t="shared" si="0"/>
        <v>200000</v>
      </c>
    </row>
    <row r="25" spans="1:7" x14ac:dyDescent="0.25">
      <c r="A25" s="54">
        <v>14</v>
      </c>
      <c r="B25" s="1" t="s">
        <v>39</v>
      </c>
      <c r="C25" s="23" t="s">
        <v>115</v>
      </c>
      <c r="D25" s="30">
        <f>SUM(D26:D31)</f>
        <v>0</v>
      </c>
      <c r="E25" s="30">
        <f>SUM(E26:E31)</f>
        <v>25000</v>
      </c>
      <c r="F25" s="114">
        <f>SUM(F26:F31)</f>
        <v>1589803.1496062991</v>
      </c>
      <c r="G25" s="139">
        <f t="shared" si="0"/>
        <v>1614803.1496062991</v>
      </c>
    </row>
    <row r="26" spans="1:7" x14ac:dyDescent="0.25">
      <c r="A26" s="58">
        <v>15</v>
      </c>
      <c r="B26" s="4" t="s">
        <v>40</v>
      </c>
      <c r="C26" s="25"/>
      <c r="D26" s="39"/>
      <c r="E26" s="39">
        <v>5000</v>
      </c>
      <c r="F26" s="117"/>
      <c r="G26" s="142">
        <f t="shared" si="0"/>
        <v>5000</v>
      </c>
    </row>
    <row r="27" spans="1:7" x14ac:dyDescent="0.25">
      <c r="A27" s="58">
        <v>16</v>
      </c>
      <c r="B27" s="4" t="s">
        <v>41</v>
      </c>
      <c r="C27" s="25"/>
      <c r="D27" s="39"/>
      <c r="E27" s="39"/>
      <c r="F27" s="117">
        <v>15000</v>
      </c>
      <c r="G27" s="142">
        <f t="shared" si="0"/>
        <v>15000</v>
      </c>
    </row>
    <row r="28" spans="1:7" x14ac:dyDescent="0.25">
      <c r="A28" s="58">
        <v>17</v>
      </c>
      <c r="B28" s="4" t="s">
        <v>428</v>
      </c>
      <c r="C28" s="25"/>
      <c r="D28" s="39"/>
      <c r="E28" s="39"/>
      <c r="F28" s="117">
        <f>2000000/1.27</f>
        <v>1574803.1496062991</v>
      </c>
      <c r="G28" s="142">
        <f t="shared" si="0"/>
        <v>1574803.1496062991</v>
      </c>
    </row>
    <row r="29" spans="1:7" x14ac:dyDescent="0.25">
      <c r="A29" s="58">
        <v>18</v>
      </c>
      <c r="B29" s="4" t="s">
        <v>43</v>
      </c>
      <c r="C29" s="25"/>
      <c r="D29" s="39"/>
      <c r="E29" s="39">
        <v>0</v>
      </c>
      <c r="F29" s="117"/>
      <c r="G29" s="142">
        <f t="shared" si="0"/>
        <v>0</v>
      </c>
    </row>
    <row r="30" spans="1:7" x14ac:dyDescent="0.25">
      <c r="A30" s="58">
        <v>19</v>
      </c>
      <c r="B30" s="4" t="s">
        <v>161</v>
      </c>
      <c r="C30" s="25"/>
      <c r="D30" s="39"/>
      <c r="E30" s="39"/>
      <c r="F30" s="117"/>
      <c r="G30" s="142">
        <f t="shared" si="0"/>
        <v>0</v>
      </c>
    </row>
    <row r="31" spans="1:7" x14ac:dyDescent="0.25">
      <c r="A31" s="58">
        <v>20</v>
      </c>
      <c r="B31" s="4" t="s">
        <v>44</v>
      </c>
      <c r="C31" s="25"/>
      <c r="D31" s="39"/>
      <c r="E31" s="39">
        <v>20000</v>
      </c>
      <c r="F31" s="117"/>
      <c r="G31" s="142">
        <f t="shared" si="0"/>
        <v>20000</v>
      </c>
    </row>
    <row r="32" spans="1:7" x14ac:dyDescent="0.25">
      <c r="A32" s="55">
        <v>21</v>
      </c>
      <c r="B32" s="2" t="s">
        <v>80</v>
      </c>
      <c r="C32" s="24" t="s">
        <v>116</v>
      </c>
      <c r="D32" s="30">
        <f>D22+D25</f>
        <v>200000</v>
      </c>
      <c r="E32" s="30">
        <f>E22+E25</f>
        <v>25000</v>
      </c>
      <c r="F32" s="114">
        <f>F22+F25</f>
        <v>1589803.1496062991</v>
      </c>
      <c r="G32" s="139">
        <f t="shared" si="0"/>
        <v>1814803.1496062991</v>
      </c>
    </row>
    <row r="33" spans="1:7" x14ac:dyDescent="0.25">
      <c r="A33" s="54">
        <v>22</v>
      </c>
      <c r="B33" s="1" t="s">
        <v>45</v>
      </c>
      <c r="C33" s="23" t="s">
        <v>117</v>
      </c>
      <c r="D33" s="30">
        <f>SUM(D34:D35)</f>
        <v>0</v>
      </c>
      <c r="E33" s="30">
        <f t="shared" ref="E33:F33" si="1">SUM(E34:E35)</f>
        <v>6684</v>
      </c>
      <c r="F33" s="114">
        <f t="shared" si="1"/>
        <v>0</v>
      </c>
      <c r="G33" s="139">
        <f t="shared" si="0"/>
        <v>6684</v>
      </c>
    </row>
    <row r="34" spans="1:7" x14ac:dyDescent="0.25">
      <c r="A34" s="58">
        <v>23</v>
      </c>
      <c r="B34" s="4" t="s">
        <v>46</v>
      </c>
      <c r="C34" s="25"/>
      <c r="D34" s="39"/>
      <c r="E34" s="39">
        <f>557*12</f>
        <v>6684</v>
      </c>
      <c r="F34" s="117"/>
      <c r="G34" s="142">
        <f t="shared" si="0"/>
        <v>6684</v>
      </c>
    </row>
    <row r="35" spans="1:7" x14ac:dyDescent="0.25">
      <c r="A35" s="58">
        <v>24</v>
      </c>
      <c r="B35" s="4" t="s">
        <v>47</v>
      </c>
      <c r="C35" s="25"/>
      <c r="D35" s="39"/>
      <c r="E35" s="39"/>
      <c r="F35" s="117"/>
      <c r="G35" s="142">
        <f t="shared" si="0"/>
        <v>0</v>
      </c>
    </row>
    <row r="36" spans="1:7" x14ac:dyDescent="0.25">
      <c r="A36" s="54">
        <v>25</v>
      </c>
      <c r="B36" s="1" t="s">
        <v>48</v>
      </c>
      <c r="C36" s="23" t="s">
        <v>118</v>
      </c>
      <c r="D36" s="30">
        <f>SUM(D37)</f>
        <v>0</v>
      </c>
      <c r="E36" s="30">
        <f t="shared" ref="E36:F36" si="2">SUM(E37)</f>
        <v>19200</v>
      </c>
      <c r="F36" s="114">
        <f t="shared" si="2"/>
        <v>0</v>
      </c>
      <c r="G36" s="139">
        <f t="shared" si="0"/>
        <v>19200</v>
      </c>
    </row>
    <row r="37" spans="1:7" x14ac:dyDescent="0.25">
      <c r="A37" s="58">
        <v>26</v>
      </c>
      <c r="B37" s="4" t="s">
        <v>49</v>
      </c>
      <c r="C37" s="25"/>
      <c r="D37" s="39"/>
      <c r="E37" s="39">
        <f>1600*12</f>
        <v>19200</v>
      </c>
      <c r="F37" s="117"/>
      <c r="G37" s="142">
        <f t="shared" si="0"/>
        <v>19200</v>
      </c>
    </row>
    <row r="38" spans="1:7" x14ac:dyDescent="0.25">
      <c r="A38" s="55">
        <v>27</v>
      </c>
      <c r="B38" s="2" t="s">
        <v>81</v>
      </c>
      <c r="C38" s="24" t="s">
        <v>119</v>
      </c>
      <c r="D38" s="30">
        <f>D33+D36</f>
        <v>0</v>
      </c>
      <c r="E38" s="30">
        <f>E33+E36</f>
        <v>25884</v>
      </c>
      <c r="F38" s="114">
        <f t="shared" ref="F38" si="3">F33+F36</f>
        <v>0</v>
      </c>
      <c r="G38" s="139">
        <f t="shared" si="0"/>
        <v>25884</v>
      </c>
    </row>
    <row r="39" spans="1:7" x14ac:dyDescent="0.25">
      <c r="A39" s="54">
        <v>28</v>
      </c>
      <c r="B39" s="1" t="s">
        <v>50</v>
      </c>
      <c r="C39" s="23" t="s">
        <v>120</v>
      </c>
      <c r="D39" s="30">
        <f>SUM(D40:D42)</f>
        <v>0</v>
      </c>
      <c r="E39" s="30">
        <f t="shared" ref="E39:F39" si="4">SUM(E40:E42)</f>
        <v>0</v>
      </c>
      <c r="F39" s="114">
        <f t="shared" si="4"/>
        <v>1112000</v>
      </c>
      <c r="G39" s="139">
        <f t="shared" si="0"/>
        <v>1112000</v>
      </c>
    </row>
    <row r="40" spans="1:7" x14ac:dyDescent="0.25">
      <c r="A40" s="58">
        <v>29</v>
      </c>
      <c r="B40" s="4" t="s">
        <v>51</v>
      </c>
      <c r="C40" s="25"/>
      <c r="D40" s="39"/>
      <c r="E40" s="39"/>
      <c r="F40" s="117">
        <v>250000</v>
      </c>
      <c r="G40" s="142">
        <f t="shared" si="0"/>
        <v>250000</v>
      </c>
    </row>
    <row r="41" spans="1:7" x14ac:dyDescent="0.25">
      <c r="A41" s="58">
        <v>30</v>
      </c>
      <c r="B41" s="4" t="s">
        <v>52</v>
      </c>
      <c r="C41" s="25"/>
      <c r="D41" s="39"/>
      <c r="E41" s="39"/>
      <c r="F41" s="117">
        <v>800000</v>
      </c>
      <c r="G41" s="142">
        <f t="shared" si="0"/>
        <v>800000</v>
      </c>
    </row>
    <row r="42" spans="1:7" x14ac:dyDescent="0.25">
      <c r="A42" s="58">
        <v>31</v>
      </c>
      <c r="B42" s="4" t="s">
        <v>53</v>
      </c>
      <c r="C42" s="25"/>
      <c r="D42" s="39"/>
      <c r="E42" s="39"/>
      <c r="F42" s="117">
        <v>62000</v>
      </c>
      <c r="G42" s="142">
        <f t="shared" si="0"/>
        <v>62000</v>
      </c>
    </row>
    <row r="43" spans="1:7" x14ac:dyDescent="0.25">
      <c r="A43" s="54">
        <v>32</v>
      </c>
      <c r="B43" s="1" t="s">
        <v>54</v>
      </c>
      <c r="C43" s="23" t="s">
        <v>121</v>
      </c>
      <c r="D43" s="30"/>
      <c r="E43" s="30"/>
      <c r="F43" s="114"/>
      <c r="G43" s="139">
        <f t="shared" si="0"/>
        <v>0</v>
      </c>
    </row>
    <row r="44" spans="1:7" x14ac:dyDescent="0.25">
      <c r="A44" s="54">
        <v>33</v>
      </c>
      <c r="B44" s="1" t="s">
        <v>82</v>
      </c>
      <c r="C44" s="23" t="s">
        <v>122</v>
      </c>
      <c r="D44" s="30"/>
      <c r="E44" s="30"/>
      <c r="F44" s="114"/>
      <c r="G44" s="139">
        <f t="shared" si="0"/>
        <v>0</v>
      </c>
    </row>
    <row r="45" spans="1:7" x14ac:dyDescent="0.25">
      <c r="A45" s="54">
        <v>34</v>
      </c>
      <c r="B45" s="1" t="s">
        <v>55</v>
      </c>
      <c r="C45" s="23" t="s">
        <v>123</v>
      </c>
      <c r="D45" s="30"/>
      <c r="E45" s="30">
        <v>6000</v>
      </c>
      <c r="F45" s="114">
        <v>13000</v>
      </c>
      <c r="G45" s="139">
        <f t="shared" si="0"/>
        <v>19000</v>
      </c>
    </row>
    <row r="46" spans="1:7" x14ac:dyDescent="0.25">
      <c r="A46" s="61">
        <v>35</v>
      </c>
      <c r="B46" s="5" t="s">
        <v>83</v>
      </c>
      <c r="C46" s="23" t="s">
        <v>124</v>
      </c>
      <c r="D46" s="30"/>
      <c r="E46" s="30"/>
      <c r="F46" s="114"/>
      <c r="G46" s="139">
        <f t="shared" si="0"/>
        <v>0</v>
      </c>
    </row>
    <row r="47" spans="1:7" x14ac:dyDescent="0.25">
      <c r="A47" s="54">
        <v>36</v>
      </c>
      <c r="B47" s="1" t="s">
        <v>56</v>
      </c>
      <c r="C47" s="23" t="s">
        <v>125</v>
      </c>
      <c r="D47" s="30"/>
      <c r="E47" s="30"/>
      <c r="F47" s="114"/>
      <c r="G47" s="139">
        <f t="shared" si="0"/>
        <v>0</v>
      </c>
    </row>
    <row r="48" spans="1:7" x14ac:dyDescent="0.25">
      <c r="A48" s="54">
        <v>37</v>
      </c>
      <c r="B48" s="1" t="s">
        <v>84</v>
      </c>
      <c r="C48" s="23" t="s">
        <v>126</v>
      </c>
      <c r="D48" s="30">
        <f>SUM(D49:D52)</f>
        <v>0</v>
      </c>
      <c r="E48" s="30">
        <f>SUM(E49:E52)</f>
        <v>0</v>
      </c>
      <c r="F48" s="114">
        <f>SUM(F49:F52)</f>
        <v>36000</v>
      </c>
      <c r="G48" s="139">
        <f t="shared" si="0"/>
        <v>36000</v>
      </c>
    </row>
    <row r="49" spans="1:7" x14ac:dyDescent="0.25">
      <c r="A49" s="58">
        <v>38</v>
      </c>
      <c r="B49" s="4" t="s">
        <v>157</v>
      </c>
      <c r="C49" s="25"/>
      <c r="D49" s="39"/>
      <c r="E49" s="39"/>
      <c r="F49" s="117"/>
      <c r="G49" s="142">
        <f t="shared" si="0"/>
        <v>0</v>
      </c>
    </row>
    <row r="50" spans="1:7" x14ac:dyDescent="0.25">
      <c r="A50" s="58">
        <v>40</v>
      </c>
      <c r="B50" s="4" t="s">
        <v>158</v>
      </c>
      <c r="C50" s="25"/>
      <c r="D50" s="39"/>
      <c r="E50" s="39"/>
      <c r="F50" s="117">
        <v>36000</v>
      </c>
      <c r="G50" s="142">
        <f t="shared" si="0"/>
        <v>36000</v>
      </c>
    </row>
    <row r="51" spans="1:7" x14ac:dyDescent="0.25">
      <c r="A51" s="58">
        <v>41</v>
      </c>
      <c r="B51" s="4" t="s">
        <v>160</v>
      </c>
      <c r="C51" s="25"/>
      <c r="D51" s="39"/>
      <c r="E51" s="39"/>
      <c r="F51" s="117"/>
      <c r="G51" s="142">
        <f t="shared" si="0"/>
        <v>0</v>
      </c>
    </row>
    <row r="52" spans="1:7" x14ac:dyDescent="0.25">
      <c r="A52" s="57">
        <v>42</v>
      </c>
      <c r="B52" s="3" t="s">
        <v>156</v>
      </c>
      <c r="C52" s="25"/>
      <c r="D52" s="39"/>
      <c r="E52" s="39"/>
      <c r="F52" s="117"/>
      <c r="G52" s="142">
        <f t="shared" si="0"/>
        <v>0</v>
      </c>
    </row>
    <row r="53" spans="1:7" x14ac:dyDescent="0.25">
      <c r="A53" s="55">
        <v>43</v>
      </c>
      <c r="B53" s="2" t="s">
        <v>85</v>
      </c>
      <c r="C53" s="24" t="s">
        <v>127</v>
      </c>
      <c r="D53" s="30">
        <f>D39+D43+D44+D45+D46+D47+D48</f>
        <v>0</v>
      </c>
      <c r="E53" s="30">
        <f t="shared" ref="E53" si="5">E39+E43+E44+E45+E46+E47+E48</f>
        <v>6000</v>
      </c>
      <c r="F53" s="30">
        <f>F39+F43+F44+F45+F46+F47+F48</f>
        <v>1161000</v>
      </c>
      <c r="G53" s="139">
        <f t="shared" si="0"/>
        <v>1167000</v>
      </c>
    </row>
    <row r="54" spans="1:7" x14ac:dyDescent="0.25">
      <c r="A54" s="54">
        <v>44</v>
      </c>
      <c r="B54" s="1" t="s">
        <v>57</v>
      </c>
      <c r="C54" s="23" t="s">
        <v>128</v>
      </c>
      <c r="D54" s="30"/>
      <c r="E54" s="30">
        <v>0</v>
      </c>
      <c r="F54" s="114"/>
      <c r="G54" s="139">
        <f t="shared" si="0"/>
        <v>0</v>
      </c>
    </row>
    <row r="55" spans="1:7" x14ac:dyDescent="0.25">
      <c r="A55" s="54">
        <v>45</v>
      </c>
      <c r="B55" s="1" t="s">
        <v>58</v>
      </c>
      <c r="C55" s="23" t="s">
        <v>129</v>
      </c>
      <c r="D55" s="30"/>
      <c r="E55" s="30"/>
      <c r="F55" s="114">
        <v>10000</v>
      </c>
      <c r="G55" s="139">
        <f t="shared" si="0"/>
        <v>10000</v>
      </c>
    </row>
    <row r="56" spans="1:7" ht="30" x14ac:dyDescent="0.25">
      <c r="A56" s="55">
        <v>46</v>
      </c>
      <c r="B56" s="2" t="s">
        <v>86</v>
      </c>
      <c r="C56" s="24" t="s">
        <v>130</v>
      </c>
      <c r="D56" s="30">
        <f>SUM(D54:D55)</f>
        <v>0</v>
      </c>
      <c r="E56" s="30">
        <f t="shared" ref="E56:F56" si="6">SUM(E54:E55)</f>
        <v>0</v>
      </c>
      <c r="F56" s="114">
        <f t="shared" si="6"/>
        <v>10000</v>
      </c>
      <c r="G56" s="139">
        <f t="shared" si="0"/>
        <v>10000</v>
      </c>
    </row>
    <row r="57" spans="1:7" ht="28.5" x14ac:dyDescent="0.25">
      <c r="A57" s="54">
        <v>47</v>
      </c>
      <c r="B57" s="1" t="s">
        <v>59</v>
      </c>
      <c r="C57" s="23" t="s">
        <v>131</v>
      </c>
      <c r="D57" s="30">
        <f>D24*0.05</f>
        <v>10000</v>
      </c>
      <c r="E57" s="30">
        <v>15000</v>
      </c>
      <c r="F57" s="114">
        <f>300000+F28*0.27</f>
        <v>725196.85039370076</v>
      </c>
      <c r="G57" s="139">
        <f t="shared" si="0"/>
        <v>750196.85039370076</v>
      </c>
    </row>
    <row r="58" spans="1:7" x14ac:dyDescent="0.25">
      <c r="A58" s="54">
        <v>48</v>
      </c>
      <c r="B58" s="1" t="s">
        <v>61</v>
      </c>
      <c r="C58" s="23" t="s">
        <v>134</v>
      </c>
      <c r="D58" s="30"/>
      <c r="E58" s="30"/>
      <c r="F58" s="114">
        <v>25000</v>
      </c>
      <c r="G58" s="139">
        <f t="shared" si="0"/>
        <v>25000</v>
      </c>
    </row>
    <row r="59" spans="1:7" ht="30" x14ac:dyDescent="0.25">
      <c r="A59" s="55">
        <v>49</v>
      </c>
      <c r="B59" s="2" t="s">
        <v>88</v>
      </c>
      <c r="C59" s="24" t="s">
        <v>135</v>
      </c>
      <c r="D59" s="30">
        <f>SUM(D57:D58)</f>
        <v>10000</v>
      </c>
      <c r="E59" s="30">
        <f>SUM(E57:E58)</f>
        <v>15000</v>
      </c>
      <c r="F59" s="114">
        <f>SUM(F57:F58)</f>
        <v>750196.85039370076</v>
      </c>
      <c r="G59" s="139">
        <f t="shared" si="0"/>
        <v>775196.85039370076</v>
      </c>
    </row>
    <row r="60" spans="1:7" ht="15.75" x14ac:dyDescent="0.25">
      <c r="A60" s="41">
        <v>50</v>
      </c>
      <c r="B60" s="27" t="s">
        <v>89</v>
      </c>
      <c r="C60" s="27" t="s">
        <v>136</v>
      </c>
      <c r="D60" s="31">
        <f>D59+D56+D53+D38+D32</f>
        <v>210000</v>
      </c>
      <c r="E60" s="31">
        <f>E59+E56+E53+E38+E32</f>
        <v>71884</v>
      </c>
      <c r="F60" s="115">
        <f>F59+F56+F53+F38+F32</f>
        <v>3511000</v>
      </c>
      <c r="G60" s="122">
        <f t="shared" si="0"/>
        <v>3792884</v>
      </c>
    </row>
    <row r="61" spans="1:7" x14ac:dyDescent="0.25">
      <c r="A61" s="59">
        <v>51</v>
      </c>
      <c r="B61" s="6" t="s">
        <v>63</v>
      </c>
      <c r="C61" s="23" t="s">
        <v>141</v>
      </c>
      <c r="D61" s="30"/>
      <c r="E61" s="30"/>
      <c r="F61" s="114"/>
      <c r="G61" s="139">
        <f t="shared" si="0"/>
        <v>0</v>
      </c>
    </row>
    <row r="62" spans="1:7" x14ac:dyDescent="0.25">
      <c r="A62" s="43">
        <v>52</v>
      </c>
      <c r="B62" s="28" t="s">
        <v>94</v>
      </c>
      <c r="C62" s="29" t="s">
        <v>142</v>
      </c>
      <c r="D62" s="32">
        <f>D61</f>
        <v>0</v>
      </c>
      <c r="E62" s="32">
        <f t="shared" ref="E62:F62" si="7">E61</f>
        <v>0</v>
      </c>
      <c r="F62" s="118">
        <f t="shared" si="7"/>
        <v>0</v>
      </c>
      <c r="G62" s="143">
        <f t="shared" si="0"/>
        <v>0</v>
      </c>
    </row>
    <row r="63" spans="1:7" ht="31.5" x14ac:dyDescent="0.25">
      <c r="A63" s="42">
        <v>53</v>
      </c>
      <c r="B63" s="37" t="s">
        <v>64</v>
      </c>
      <c r="C63" s="37" t="s">
        <v>143</v>
      </c>
      <c r="D63" s="38">
        <f>D16+D17+D60+D62</f>
        <v>210000</v>
      </c>
      <c r="E63" s="38">
        <f>E16+E17+E60+E62</f>
        <v>1646707</v>
      </c>
      <c r="F63" s="116">
        <f>F16+F17+F60+F62</f>
        <v>6289972.5</v>
      </c>
      <c r="G63" s="123">
        <f t="shared" si="0"/>
        <v>8146679.5</v>
      </c>
    </row>
    <row r="64" spans="1:7" x14ac:dyDescent="0.25">
      <c r="A64" s="59">
        <v>54</v>
      </c>
      <c r="B64" s="6" t="s">
        <v>65</v>
      </c>
      <c r="C64" s="23" t="s">
        <v>144</v>
      </c>
      <c r="D64" s="30"/>
      <c r="E64" s="30"/>
      <c r="F64" s="114"/>
      <c r="G64" s="139">
        <f t="shared" si="0"/>
        <v>0</v>
      </c>
    </row>
    <row r="65" spans="1:7" x14ac:dyDescent="0.25">
      <c r="A65" s="59">
        <v>55</v>
      </c>
      <c r="B65" s="6" t="s">
        <v>95</v>
      </c>
      <c r="C65" s="23" t="s">
        <v>145</v>
      </c>
      <c r="D65" s="30"/>
      <c r="E65" s="30"/>
      <c r="F65" s="114">
        <f>1000000/1.27</f>
        <v>787401.57480314956</v>
      </c>
      <c r="G65" s="139">
        <f t="shared" si="0"/>
        <v>787401.57480314956</v>
      </c>
    </row>
    <row r="66" spans="1:7" x14ac:dyDescent="0.25">
      <c r="A66" s="54">
        <v>56</v>
      </c>
      <c r="B66" s="1" t="s">
        <v>66</v>
      </c>
      <c r="C66" s="23" t="s">
        <v>146</v>
      </c>
      <c r="D66" s="30"/>
      <c r="E66" s="30"/>
      <c r="F66" s="114"/>
      <c r="G66" s="139">
        <f t="shared" si="0"/>
        <v>0</v>
      </c>
    </row>
    <row r="67" spans="1:7" x14ac:dyDescent="0.25">
      <c r="A67" s="59">
        <v>57</v>
      </c>
      <c r="B67" s="6" t="s">
        <v>67</v>
      </c>
      <c r="C67" s="23" t="s">
        <v>147</v>
      </c>
      <c r="D67" s="30"/>
      <c r="E67" s="30">
        <f>30000/1.27</f>
        <v>23622.047244094487</v>
      </c>
      <c r="F67" s="114"/>
      <c r="G67" s="139">
        <f t="shared" si="0"/>
        <v>23622.047244094487</v>
      </c>
    </row>
    <row r="68" spans="1:7" ht="28.5" x14ac:dyDescent="0.25">
      <c r="A68" s="54">
        <v>58</v>
      </c>
      <c r="B68" s="1" t="s">
        <v>68</v>
      </c>
      <c r="C68" s="23" t="s">
        <v>148</v>
      </c>
      <c r="D68" s="30"/>
      <c r="E68" s="30">
        <f>E67*0.27</f>
        <v>6377.9527559055123</v>
      </c>
      <c r="F68" s="114">
        <f>+F65*0.27</f>
        <v>212598.42519685038</v>
      </c>
      <c r="G68" s="139">
        <f t="shared" si="0"/>
        <v>218976.37795275589</v>
      </c>
    </row>
    <row r="69" spans="1:7" x14ac:dyDescent="0.25">
      <c r="A69" s="43">
        <v>59</v>
      </c>
      <c r="B69" s="28" t="s">
        <v>96</v>
      </c>
      <c r="C69" s="29" t="s">
        <v>149</v>
      </c>
      <c r="D69" s="32">
        <f>SUM(D64:D68)</f>
        <v>0</v>
      </c>
      <c r="E69" s="32">
        <f t="shared" ref="E69:F69" si="8">SUM(E64:E68)</f>
        <v>30000</v>
      </c>
      <c r="F69" s="118">
        <f t="shared" si="8"/>
        <v>1000000</v>
      </c>
      <c r="G69" s="143">
        <f t="shared" si="0"/>
        <v>1030000</v>
      </c>
    </row>
    <row r="70" spans="1:7" x14ac:dyDescent="0.25">
      <c r="A70" s="59">
        <v>60</v>
      </c>
      <c r="B70" s="6" t="s">
        <v>69</v>
      </c>
      <c r="C70" s="23" t="s">
        <v>150</v>
      </c>
      <c r="D70" s="30"/>
      <c r="E70" s="30"/>
      <c r="F70" s="114"/>
      <c r="G70" s="139">
        <f t="shared" si="0"/>
        <v>0</v>
      </c>
    </row>
    <row r="71" spans="1:7" x14ac:dyDescent="0.25">
      <c r="A71" s="59">
        <v>61</v>
      </c>
      <c r="B71" s="6" t="s">
        <v>70</v>
      </c>
      <c r="C71" s="23" t="s">
        <v>151</v>
      </c>
      <c r="D71" s="30"/>
      <c r="E71" s="30"/>
      <c r="F71" s="114"/>
      <c r="G71" s="139">
        <f t="shared" si="0"/>
        <v>0</v>
      </c>
    </row>
    <row r="72" spans="1:7" x14ac:dyDescent="0.25">
      <c r="A72" s="59">
        <v>62</v>
      </c>
      <c r="B72" s="6" t="s">
        <v>71</v>
      </c>
      <c r="C72" s="23" t="s">
        <v>152</v>
      </c>
      <c r="D72" s="30"/>
      <c r="E72" s="30"/>
      <c r="F72" s="114"/>
      <c r="G72" s="139">
        <f t="shared" si="0"/>
        <v>0</v>
      </c>
    </row>
    <row r="73" spans="1:7" ht="28.5" x14ac:dyDescent="0.25">
      <c r="A73" s="59">
        <v>63</v>
      </c>
      <c r="B73" s="6" t="s">
        <v>72</v>
      </c>
      <c r="C73" s="23" t="s">
        <v>153</v>
      </c>
      <c r="D73" s="30"/>
      <c r="E73" s="30"/>
      <c r="F73" s="114"/>
      <c r="G73" s="139">
        <f t="shared" si="0"/>
        <v>0</v>
      </c>
    </row>
    <row r="74" spans="1:7" x14ac:dyDescent="0.25">
      <c r="A74" s="43">
        <v>64</v>
      </c>
      <c r="B74" s="28" t="s">
        <v>97</v>
      </c>
      <c r="C74" s="29" t="s">
        <v>154</v>
      </c>
      <c r="D74" s="32">
        <f>SUM(D70:D73)</f>
        <v>0</v>
      </c>
      <c r="E74" s="32">
        <f t="shared" ref="E74:F74" si="9">SUM(E70:E73)</f>
        <v>0</v>
      </c>
      <c r="F74" s="118">
        <f t="shared" si="9"/>
        <v>0</v>
      </c>
      <c r="G74" s="143">
        <f t="shared" ref="G74:G76" si="10">SUM(D74:F74)</f>
        <v>0</v>
      </c>
    </row>
    <row r="75" spans="1:7" ht="32.25" thickBot="1" x14ac:dyDescent="0.3">
      <c r="A75" s="44">
        <v>65</v>
      </c>
      <c r="B75" s="45" t="s">
        <v>73</v>
      </c>
      <c r="C75" s="45" t="s">
        <v>155</v>
      </c>
      <c r="D75" s="46">
        <f>D69+D74</f>
        <v>0</v>
      </c>
      <c r="E75" s="46">
        <f t="shared" ref="E75:F75" si="11">E69+E74</f>
        <v>30000</v>
      </c>
      <c r="F75" s="119">
        <f t="shared" si="11"/>
        <v>1000000</v>
      </c>
      <c r="G75" s="126">
        <f t="shared" si="10"/>
        <v>1030000</v>
      </c>
    </row>
    <row r="76" spans="1:7" ht="18.75" thickBot="1" x14ac:dyDescent="0.3">
      <c r="A76" s="60">
        <v>66</v>
      </c>
      <c r="B76" s="47" t="s">
        <v>162</v>
      </c>
      <c r="C76" s="47" t="s">
        <v>163</v>
      </c>
      <c r="D76" s="48">
        <f>D63+D75</f>
        <v>210000</v>
      </c>
      <c r="E76" s="48">
        <f t="shared" ref="E76:F76" si="12">E63+E75</f>
        <v>1676707</v>
      </c>
      <c r="F76" s="120">
        <f t="shared" si="12"/>
        <v>7289972.5</v>
      </c>
      <c r="G76" s="127">
        <f t="shared" si="10"/>
        <v>9176679.5</v>
      </c>
    </row>
  </sheetData>
  <mergeCells count="2">
    <mergeCell ref="A4:C4"/>
    <mergeCell ref="A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25"/>
  <sheetViews>
    <sheetView topLeftCell="A13" zoomScale="140" zoomScaleNormal="140" workbookViewId="0">
      <selection activeCell="D22" sqref="D22"/>
    </sheetView>
  </sheetViews>
  <sheetFormatPr defaultRowHeight="15" x14ac:dyDescent="0.25"/>
  <cols>
    <col min="1" max="1" width="6.85546875" customWidth="1"/>
    <col min="2" max="2" width="44.85546875" customWidth="1"/>
    <col min="3" max="3" width="10.7109375" customWidth="1"/>
    <col min="4" max="4" width="20" customWidth="1"/>
    <col min="5" max="5" width="20.7109375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75" x14ac:dyDescent="0.25">
      <c r="A4" s="179" t="s">
        <v>373</v>
      </c>
      <c r="B4" s="179"/>
      <c r="C4" s="179"/>
      <c r="D4" s="19" t="s">
        <v>183</v>
      </c>
    </row>
    <row r="5" spans="1:11" ht="30" x14ac:dyDescent="0.25">
      <c r="A5" s="50" t="s">
        <v>14</v>
      </c>
      <c r="B5" s="51" t="s">
        <v>75</v>
      </c>
      <c r="C5" s="52" t="s">
        <v>0</v>
      </c>
      <c r="D5" s="13" t="s">
        <v>182</v>
      </c>
    </row>
    <row r="6" spans="1:11" x14ac:dyDescent="0.25">
      <c r="A6" s="54">
        <v>1</v>
      </c>
      <c r="B6" s="1" t="s">
        <v>380</v>
      </c>
      <c r="C6" s="1"/>
      <c r="D6" s="30">
        <v>2000000</v>
      </c>
    </row>
    <row r="7" spans="1:11" x14ac:dyDescent="0.25">
      <c r="A7" s="54">
        <v>3</v>
      </c>
      <c r="B7" s="1" t="s">
        <v>360</v>
      </c>
      <c r="C7" s="1" t="s">
        <v>282</v>
      </c>
      <c r="D7" s="30">
        <v>330000</v>
      </c>
    </row>
    <row r="8" spans="1:11" x14ac:dyDescent="0.25">
      <c r="A8" s="54"/>
      <c r="B8" s="1" t="s">
        <v>364</v>
      </c>
      <c r="C8" s="1"/>
      <c r="D8" s="30">
        <v>200000</v>
      </c>
    </row>
    <row r="9" spans="1:11" ht="15.75" x14ac:dyDescent="0.25">
      <c r="A9" s="33">
        <v>4</v>
      </c>
      <c r="B9" s="34" t="s">
        <v>98</v>
      </c>
      <c r="C9" s="35"/>
      <c r="D9" s="36">
        <f>SUM(D6:D8)</f>
        <v>2530000</v>
      </c>
    </row>
    <row r="12" spans="1:11" ht="18" x14ac:dyDescent="0.25">
      <c r="A12" s="179" t="s">
        <v>74</v>
      </c>
      <c r="B12" s="179"/>
      <c r="C12" s="179"/>
      <c r="D12" s="19" t="s">
        <v>419</v>
      </c>
      <c r="E12" s="19" t="s">
        <v>418</v>
      </c>
    </row>
    <row r="13" spans="1:11" ht="30" x14ac:dyDescent="0.25">
      <c r="A13" s="10" t="s">
        <v>14</v>
      </c>
      <c r="B13" s="20" t="s">
        <v>10</v>
      </c>
      <c r="C13" s="20" t="s">
        <v>0</v>
      </c>
      <c r="D13" s="13" t="s">
        <v>182</v>
      </c>
      <c r="E13" s="13" t="s">
        <v>182</v>
      </c>
    </row>
    <row r="14" spans="1:11" x14ac:dyDescent="0.25">
      <c r="A14" s="54">
        <v>1</v>
      </c>
      <c r="B14" s="1" t="s">
        <v>39</v>
      </c>
      <c r="C14" s="23" t="s">
        <v>115</v>
      </c>
      <c r="D14" s="30">
        <f>SUM(D15:D15)</f>
        <v>681102.36220472446</v>
      </c>
      <c r="E14" s="30">
        <f>SUM(E15:E15)</f>
        <v>157480.31496062991</v>
      </c>
    </row>
    <row r="15" spans="1:11" x14ac:dyDescent="0.25">
      <c r="A15" s="58">
        <v>2</v>
      </c>
      <c r="B15" s="4" t="s">
        <v>420</v>
      </c>
      <c r="C15" s="25"/>
      <c r="D15" s="39">
        <f>865000/1.27</f>
        <v>681102.36220472446</v>
      </c>
      <c r="E15" s="39">
        <f>200000/1.27</f>
        <v>157480.31496062991</v>
      </c>
    </row>
    <row r="16" spans="1:11" x14ac:dyDescent="0.25">
      <c r="A16" s="55">
        <v>3</v>
      </c>
      <c r="B16" s="2" t="s">
        <v>80</v>
      </c>
      <c r="C16" s="24" t="s">
        <v>116</v>
      </c>
      <c r="D16" s="30">
        <f>D14</f>
        <v>681102.36220472446</v>
      </c>
      <c r="E16" s="30">
        <f>E14</f>
        <v>157480.31496062991</v>
      </c>
    </row>
    <row r="17" spans="1:5" x14ac:dyDescent="0.25">
      <c r="A17" s="54">
        <v>4</v>
      </c>
      <c r="B17" s="1" t="s">
        <v>84</v>
      </c>
      <c r="C17" s="23" t="s">
        <v>126</v>
      </c>
      <c r="D17" s="30">
        <f>SUM(D18:D18)</f>
        <v>893700.78740157478</v>
      </c>
      <c r="E17" s="30">
        <f>SUM(E18:E18)</f>
        <v>0</v>
      </c>
    </row>
    <row r="18" spans="1:5" x14ac:dyDescent="0.25">
      <c r="A18" s="58">
        <v>5</v>
      </c>
      <c r="B18" s="4" t="s">
        <v>160</v>
      </c>
      <c r="C18" s="25"/>
      <c r="D18" s="39">
        <f>1135000/1.27</f>
        <v>893700.78740157478</v>
      </c>
      <c r="E18" s="39"/>
    </row>
    <row r="19" spans="1:5" x14ac:dyDescent="0.25">
      <c r="A19" s="55">
        <v>6</v>
      </c>
      <c r="B19" s="2" t="s">
        <v>85</v>
      </c>
      <c r="C19" s="24" t="s">
        <v>127</v>
      </c>
      <c r="D19" s="30">
        <f>SUM(D17:D17)</f>
        <v>893700.78740157478</v>
      </c>
      <c r="E19" s="30">
        <f>SUM(E17:E17)</f>
        <v>0</v>
      </c>
    </row>
    <row r="20" spans="1:5" x14ac:dyDescent="0.25">
      <c r="A20" s="55">
        <v>7</v>
      </c>
      <c r="B20" s="2" t="s">
        <v>350</v>
      </c>
      <c r="C20" s="24" t="s">
        <v>135</v>
      </c>
      <c r="D20" s="30">
        <f>D15*0.27+D18*0.27</f>
        <v>425196.85039370082</v>
      </c>
      <c r="E20" s="30">
        <f>E15*0.27+E18*0.27</f>
        <v>42519.685039370081</v>
      </c>
    </row>
    <row r="21" spans="1:5" ht="15.75" x14ac:dyDescent="0.25">
      <c r="A21" s="41">
        <v>8</v>
      </c>
      <c r="B21" s="27" t="s">
        <v>89</v>
      </c>
      <c r="C21" s="27" t="s">
        <v>136</v>
      </c>
      <c r="D21" s="31">
        <f>D16+D19+D20</f>
        <v>2000000</v>
      </c>
      <c r="E21" s="31">
        <f>E16+E19+E20</f>
        <v>200000</v>
      </c>
    </row>
    <row r="22" spans="1:5" x14ac:dyDescent="0.25">
      <c r="A22" s="59">
        <v>9</v>
      </c>
      <c r="B22" s="6" t="s">
        <v>63</v>
      </c>
      <c r="C22" s="23" t="s">
        <v>141</v>
      </c>
      <c r="D22" s="30">
        <v>330000</v>
      </c>
      <c r="E22" s="30"/>
    </row>
    <row r="23" spans="1:5" x14ac:dyDescent="0.25">
      <c r="A23" s="43">
        <v>10</v>
      </c>
      <c r="B23" s="28" t="s">
        <v>94</v>
      </c>
      <c r="C23" s="29" t="s">
        <v>142</v>
      </c>
      <c r="D23" s="32">
        <f>D22</f>
        <v>330000</v>
      </c>
      <c r="E23" s="32">
        <f>E22</f>
        <v>0</v>
      </c>
    </row>
    <row r="24" spans="1:5" ht="32.25" thickBot="1" x14ac:dyDescent="0.3">
      <c r="A24" s="42">
        <v>11</v>
      </c>
      <c r="B24" s="37" t="s">
        <v>64</v>
      </c>
      <c r="C24" s="37" t="s">
        <v>143</v>
      </c>
      <c r="D24" s="38">
        <f>D21+D23</f>
        <v>2330000</v>
      </c>
      <c r="E24" s="38">
        <f>E21+E23</f>
        <v>200000</v>
      </c>
    </row>
    <row r="25" spans="1:5" ht="18.75" thickBot="1" x14ac:dyDescent="0.3">
      <c r="A25" s="60">
        <v>12</v>
      </c>
      <c r="B25" s="47" t="s">
        <v>162</v>
      </c>
      <c r="C25" s="47" t="s">
        <v>163</v>
      </c>
      <c r="D25" s="48">
        <f>D24</f>
        <v>2330000</v>
      </c>
      <c r="E25" s="48">
        <f>E24</f>
        <v>200000</v>
      </c>
    </row>
  </sheetData>
  <mergeCells count="2">
    <mergeCell ref="A4:C4"/>
    <mergeCell ref="A12:C12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K47"/>
  <sheetViews>
    <sheetView topLeftCell="A13" zoomScale="140" zoomScaleNormal="140" workbookViewId="0">
      <selection activeCell="E16" sqref="E16"/>
    </sheetView>
  </sheetViews>
  <sheetFormatPr defaultRowHeight="15" x14ac:dyDescent="0.25"/>
  <cols>
    <col min="1" max="1" width="6.85546875" customWidth="1"/>
    <col min="2" max="2" width="44.85546875" customWidth="1"/>
    <col min="3" max="3" width="10.7109375" bestFit="1" customWidth="1"/>
    <col min="4" max="4" width="20" customWidth="1"/>
  </cols>
  <sheetData>
    <row r="2" spans="1:11" ht="18" x14ac:dyDescent="0.25">
      <c r="B2" s="166" t="s">
        <v>413</v>
      </c>
      <c r="C2" s="166"/>
      <c r="D2" s="166"/>
      <c r="E2" s="166"/>
      <c r="F2" s="166"/>
      <c r="G2" s="166"/>
      <c r="H2" s="166"/>
      <c r="I2" s="166"/>
      <c r="J2" s="166"/>
      <c r="K2" s="166"/>
    </row>
    <row r="4" spans="1:11" ht="45" x14ac:dyDescent="0.25">
      <c r="A4" s="179" t="s">
        <v>164</v>
      </c>
      <c r="B4" s="179"/>
      <c r="C4" s="179"/>
      <c r="D4" s="9" t="s">
        <v>166</v>
      </c>
    </row>
    <row r="5" spans="1:11" ht="30" x14ac:dyDescent="0.25">
      <c r="A5" s="50" t="s">
        <v>14</v>
      </c>
      <c r="B5" s="51" t="s">
        <v>75</v>
      </c>
      <c r="C5" s="52" t="s">
        <v>0</v>
      </c>
      <c r="D5" s="53" t="s">
        <v>165</v>
      </c>
    </row>
    <row r="6" spans="1:11" x14ac:dyDescent="0.25">
      <c r="A6" s="54">
        <v>1</v>
      </c>
      <c r="B6" s="1" t="s">
        <v>167</v>
      </c>
      <c r="C6" s="1" t="s">
        <v>194</v>
      </c>
      <c r="D6" s="30">
        <f>995591*3</f>
        <v>2986773</v>
      </c>
    </row>
    <row r="7" spans="1:11" x14ac:dyDescent="0.25">
      <c r="A7" s="54">
        <v>2</v>
      </c>
      <c r="B7" s="1" t="s">
        <v>168</v>
      </c>
      <c r="C7" s="1" t="s">
        <v>194</v>
      </c>
      <c r="D7" s="30">
        <v>0</v>
      </c>
    </row>
    <row r="8" spans="1:11" ht="15.75" x14ac:dyDescent="0.25">
      <c r="A8" s="33">
        <v>3</v>
      </c>
      <c r="B8" s="34" t="s">
        <v>98</v>
      </c>
      <c r="C8" s="35" t="s">
        <v>194</v>
      </c>
      <c r="D8" s="36">
        <f>SUM(D6:D7)</f>
        <v>2986773</v>
      </c>
    </row>
    <row r="11" spans="1:11" ht="45" x14ac:dyDescent="0.25">
      <c r="A11" s="179" t="s">
        <v>74</v>
      </c>
      <c r="B11" s="179"/>
      <c r="C11" s="179"/>
      <c r="D11" s="19" t="s">
        <v>166</v>
      </c>
    </row>
    <row r="12" spans="1:11" ht="30.75" thickBot="1" x14ac:dyDescent="0.3">
      <c r="A12" s="10" t="s">
        <v>14</v>
      </c>
      <c r="B12" s="20" t="s">
        <v>10</v>
      </c>
      <c r="C12" s="20" t="s">
        <v>0</v>
      </c>
      <c r="D12" s="49" t="s">
        <v>165</v>
      </c>
    </row>
    <row r="13" spans="1:11" x14ac:dyDescent="0.25">
      <c r="A13" s="56">
        <v>1</v>
      </c>
      <c r="B13" s="23" t="s">
        <v>26</v>
      </c>
      <c r="C13" s="22" t="s">
        <v>99</v>
      </c>
      <c r="D13" s="30">
        <v>2721441</v>
      </c>
    </row>
    <row r="14" spans="1:11" x14ac:dyDescent="0.25">
      <c r="A14" s="56">
        <v>2</v>
      </c>
      <c r="B14" s="23" t="s">
        <v>169</v>
      </c>
      <c r="C14" s="22" t="s">
        <v>170</v>
      </c>
      <c r="D14" s="30">
        <v>0</v>
      </c>
    </row>
    <row r="15" spans="1:11" x14ac:dyDescent="0.25">
      <c r="A15" s="55">
        <v>3</v>
      </c>
      <c r="B15" s="2" t="s">
        <v>76</v>
      </c>
      <c r="C15" s="24" t="s">
        <v>103</v>
      </c>
      <c r="D15" s="30">
        <f>SUM(D13:D14)</f>
        <v>2721441</v>
      </c>
    </row>
    <row r="16" spans="1:11" ht="15.75" x14ac:dyDescent="0.25">
      <c r="A16" s="41">
        <v>4</v>
      </c>
      <c r="B16" s="27" t="s">
        <v>78</v>
      </c>
      <c r="C16" s="27" t="s">
        <v>108</v>
      </c>
      <c r="D16" s="31">
        <f>SUM(D15)</f>
        <v>2721441</v>
      </c>
    </row>
    <row r="17" spans="1:4" ht="31.5" x14ac:dyDescent="0.25">
      <c r="A17" s="41">
        <v>5</v>
      </c>
      <c r="B17" s="27" t="s">
        <v>79</v>
      </c>
      <c r="C17" s="27" t="s">
        <v>109</v>
      </c>
      <c r="D17" s="31">
        <f>SUM(D18:D19)</f>
        <v>268951.4975</v>
      </c>
    </row>
    <row r="18" spans="1:4" x14ac:dyDescent="0.25">
      <c r="A18" s="57">
        <v>6</v>
      </c>
      <c r="B18" s="3" t="s">
        <v>32</v>
      </c>
      <c r="C18" s="25" t="s">
        <v>110</v>
      </c>
      <c r="D18" s="30">
        <f>D13*0.195/2</f>
        <v>265340.4975</v>
      </c>
    </row>
    <row r="19" spans="1:4" x14ac:dyDescent="0.25">
      <c r="A19" s="57">
        <v>7</v>
      </c>
      <c r="B19" s="3" t="s">
        <v>171</v>
      </c>
      <c r="C19" s="25" t="s">
        <v>172</v>
      </c>
      <c r="D19" s="30">
        <v>3611</v>
      </c>
    </row>
    <row r="20" spans="1:4" ht="31.5" x14ac:dyDescent="0.25">
      <c r="A20" s="42">
        <v>8</v>
      </c>
      <c r="B20" s="37" t="s">
        <v>35</v>
      </c>
      <c r="C20" s="37" t="s">
        <v>113</v>
      </c>
      <c r="D20" s="38">
        <f>D16+D17</f>
        <v>2990392.4975000001</v>
      </c>
    </row>
    <row r="21" spans="1:4" x14ac:dyDescent="0.25">
      <c r="A21" s="54">
        <v>9</v>
      </c>
      <c r="B21" s="1" t="s">
        <v>39</v>
      </c>
      <c r="C21" s="23" t="s">
        <v>115</v>
      </c>
      <c r="D21" s="30">
        <f>SUM(D22:D24)</f>
        <v>0</v>
      </c>
    </row>
    <row r="22" spans="1:4" x14ac:dyDescent="0.25">
      <c r="A22" s="58">
        <v>10</v>
      </c>
      <c r="B22" s="4" t="s">
        <v>41</v>
      </c>
      <c r="C22" s="25"/>
      <c r="D22" s="39"/>
    </row>
    <row r="23" spans="1:4" x14ac:dyDescent="0.25">
      <c r="A23" s="58">
        <v>11</v>
      </c>
      <c r="B23" s="4" t="s">
        <v>42</v>
      </c>
      <c r="C23" s="25"/>
      <c r="D23" s="39"/>
    </row>
    <row r="24" spans="1:4" x14ac:dyDescent="0.25">
      <c r="A24" s="58">
        <v>12</v>
      </c>
      <c r="B24" s="4" t="s">
        <v>370</v>
      </c>
      <c r="C24" s="25"/>
      <c r="D24" s="39"/>
    </row>
    <row r="25" spans="1:4" x14ac:dyDescent="0.25">
      <c r="A25" s="55">
        <v>14</v>
      </c>
      <c r="B25" s="2" t="s">
        <v>80</v>
      </c>
      <c r="C25" s="24" t="s">
        <v>116</v>
      </c>
      <c r="D25" s="30">
        <f>SUM(D21)</f>
        <v>0</v>
      </c>
    </row>
    <row r="26" spans="1:4" x14ac:dyDescent="0.25">
      <c r="A26" s="54">
        <v>15</v>
      </c>
      <c r="B26" s="1" t="s">
        <v>55</v>
      </c>
      <c r="C26" s="23" t="s">
        <v>123</v>
      </c>
      <c r="D26" s="30"/>
    </row>
    <row r="27" spans="1:4" x14ac:dyDescent="0.25">
      <c r="A27" s="55">
        <v>16</v>
      </c>
      <c r="B27" s="2" t="s">
        <v>85</v>
      </c>
      <c r="C27" s="24" t="s">
        <v>127</v>
      </c>
      <c r="D27" s="30">
        <f>SUM(D26)</f>
        <v>0</v>
      </c>
    </row>
    <row r="28" spans="1:4" ht="28.5" x14ac:dyDescent="0.25">
      <c r="A28" s="54">
        <v>17</v>
      </c>
      <c r="B28" s="1" t="s">
        <v>59</v>
      </c>
      <c r="C28" s="23" t="s">
        <v>131</v>
      </c>
      <c r="D28" s="30">
        <v>0</v>
      </c>
    </row>
    <row r="29" spans="1:4" x14ac:dyDescent="0.25">
      <c r="A29" s="54">
        <v>18</v>
      </c>
      <c r="B29" s="1" t="s">
        <v>61</v>
      </c>
      <c r="C29" s="23" t="s">
        <v>134</v>
      </c>
      <c r="D29" s="30"/>
    </row>
    <row r="30" spans="1:4" ht="30" x14ac:dyDescent="0.25">
      <c r="A30" s="55">
        <v>19</v>
      </c>
      <c r="B30" s="2" t="s">
        <v>88</v>
      </c>
      <c r="C30" s="24" t="s">
        <v>135</v>
      </c>
      <c r="D30" s="30">
        <f>SUM(D28:D29)</f>
        <v>0</v>
      </c>
    </row>
    <row r="31" spans="1:4" ht="15.75" x14ac:dyDescent="0.25">
      <c r="A31" s="41">
        <v>20</v>
      </c>
      <c r="B31" s="27" t="s">
        <v>89</v>
      </c>
      <c r="C31" s="27" t="s">
        <v>136</v>
      </c>
      <c r="D31" s="31">
        <f>SUM(D25+D27+D30)</f>
        <v>0</v>
      </c>
    </row>
    <row r="32" spans="1:4" x14ac:dyDescent="0.25">
      <c r="A32" s="59">
        <v>21</v>
      </c>
      <c r="B32" s="6" t="s">
        <v>63</v>
      </c>
      <c r="C32" s="23" t="s">
        <v>141</v>
      </c>
      <c r="D32" s="30"/>
    </row>
    <row r="33" spans="1:4" x14ac:dyDescent="0.25">
      <c r="A33" s="43">
        <v>22</v>
      </c>
      <c r="B33" s="28" t="s">
        <v>94</v>
      </c>
      <c r="C33" s="29" t="s">
        <v>142</v>
      </c>
      <c r="D33" s="32">
        <f>D32</f>
        <v>0</v>
      </c>
    </row>
    <row r="34" spans="1:4" ht="31.5" x14ac:dyDescent="0.25">
      <c r="A34" s="42">
        <v>23</v>
      </c>
      <c r="B34" s="37" t="s">
        <v>64</v>
      </c>
      <c r="C34" s="37" t="s">
        <v>143</v>
      </c>
      <c r="D34" s="38">
        <f>D16+D17+D31+D33</f>
        <v>2990392.4975000001</v>
      </c>
    </row>
    <row r="35" spans="1:4" x14ac:dyDescent="0.25">
      <c r="A35" s="59">
        <v>24</v>
      </c>
      <c r="B35" s="6" t="s">
        <v>65</v>
      </c>
      <c r="C35" s="23" t="s">
        <v>144</v>
      </c>
      <c r="D35" s="30"/>
    </row>
    <row r="36" spans="1:4" x14ac:dyDescent="0.25">
      <c r="A36" s="59">
        <v>25</v>
      </c>
      <c r="B36" s="6" t="s">
        <v>95</v>
      </c>
      <c r="C36" s="23" t="s">
        <v>145</v>
      </c>
      <c r="D36" s="30"/>
    </row>
    <row r="37" spans="1:4" x14ac:dyDescent="0.25">
      <c r="A37" s="54">
        <v>26</v>
      </c>
      <c r="B37" s="1" t="s">
        <v>66</v>
      </c>
      <c r="C37" s="23" t="s">
        <v>146</v>
      </c>
      <c r="D37" s="30"/>
    </row>
    <row r="38" spans="1:4" x14ac:dyDescent="0.25">
      <c r="A38" s="59">
        <v>27</v>
      </c>
      <c r="B38" s="6" t="s">
        <v>67</v>
      </c>
      <c r="C38" s="23" t="s">
        <v>147</v>
      </c>
      <c r="D38" s="30"/>
    </row>
    <row r="39" spans="1:4" ht="28.5" x14ac:dyDescent="0.25">
      <c r="A39" s="54">
        <v>28</v>
      </c>
      <c r="B39" s="1" t="s">
        <v>68</v>
      </c>
      <c r="C39" s="23" t="s">
        <v>148</v>
      </c>
      <c r="D39" s="30"/>
    </row>
    <row r="40" spans="1:4" x14ac:dyDescent="0.25">
      <c r="A40" s="43">
        <v>29</v>
      </c>
      <c r="B40" s="28" t="s">
        <v>96</v>
      </c>
      <c r="C40" s="29" t="s">
        <v>149</v>
      </c>
      <c r="D40" s="32">
        <f>SUM(D35:D39)</f>
        <v>0</v>
      </c>
    </row>
    <row r="41" spans="1:4" x14ac:dyDescent="0.25">
      <c r="A41" s="59">
        <v>30</v>
      </c>
      <c r="B41" s="6" t="s">
        <v>69</v>
      </c>
      <c r="C41" s="23" t="s">
        <v>150</v>
      </c>
      <c r="D41" s="30"/>
    </row>
    <row r="42" spans="1:4" x14ac:dyDescent="0.25">
      <c r="A42" s="59">
        <v>31</v>
      </c>
      <c r="B42" s="6" t="s">
        <v>70</v>
      </c>
      <c r="C42" s="23" t="s">
        <v>151</v>
      </c>
      <c r="D42" s="30"/>
    </row>
    <row r="43" spans="1:4" x14ac:dyDescent="0.25">
      <c r="A43" s="59">
        <v>32</v>
      </c>
      <c r="B43" s="6" t="s">
        <v>71</v>
      </c>
      <c r="C43" s="23" t="s">
        <v>152</v>
      </c>
      <c r="D43" s="30"/>
    </row>
    <row r="44" spans="1:4" ht="28.5" x14ac:dyDescent="0.25">
      <c r="A44" s="59">
        <v>33</v>
      </c>
      <c r="B44" s="6" t="s">
        <v>72</v>
      </c>
      <c r="C44" s="23" t="s">
        <v>153</v>
      </c>
      <c r="D44" s="30"/>
    </row>
    <row r="45" spans="1:4" x14ac:dyDescent="0.25">
      <c r="A45" s="43">
        <v>34</v>
      </c>
      <c r="B45" s="28" t="s">
        <v>97</v>
      </c>
      <c r="C45" s="29" t="s">
        <v>154</v>
      </c>
      <c r="D45" s="32">
        <f>SUM(D41:D44)</f>
        <v>0</v>
      </c>
    </row>
    <row r="46" spans="1:4" ht="32.25" thickBot="1" x14ac:dyDescent="0.3">
      <c r="A46" s="44">
        <v>35</v>
      </c>
      <c r="B46" s="45" t="s">
        <v>73</v>
      </c>
      <c r="C46" s="45" t="s">
        <v>155</v>
      </c>
      <c r="D46" s="46">
        <f>D40+D45</f>
        <v>0</v>
      </c>
    </row>
    <row r="47" spans="1:4" ht="18.75" thickBot="1" x14ac:dyDescent="0.3">
      <c r="A47" s="60">
        <v>36</v>
      </c>
      <c r="B47" s="47" t="s">
        <v>162</v>
      </c>
      <c r="C47" s="47" t="s">
        <v>163</v>
      </c>
      <c r="D47" s="48">
        <f>D34+D46</f>
        <v>2990392.4975000001</v>
      </c>
    </row>
  </sheetData>
  <mergeCells count="2">
    <mergeCell ref="A4:C4"/>
    <mergeCell ref="A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43"/>
  <sheetViews>
    <sheetView zoomScale="150" zoomScaleNormal="150" workbookViewId="0">
      <selection activeCell="D10" sqref="D10"/>
    </sheetView>
  </sheetViews>
  <sheetFormatPr defaultRowHeight="15" x14ac:dyDescent="0.25"/>
  <cols>
    <col min="1" max="1" width="6.85546875" customWidth="1"/>
    <col min="2" max="2" width="44.85546875" customWidth="1"/>
    <col min="3" max="3" width="10.7109375" customWidth="1"/>
    <col min="4" max="4" width="18.140625" customWidth="1"/>
    <col min="5" max="5" width="3.85546875" customWidth="1"/>
    <col min="6" max="6" width="18.42578125" customWidth="1"/>
    <col min="8" max="8" width="9.85546875" bestFit="1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30" x14ac:dyDescent="0.25">
      <c r="A4" s="179" t="s">
        <v>225</v>
      </c>
      <c r="B4" s="179"/>
      <c r="C4" s="179"/>
      <c r="D4" s="9" t="s">
        <v>234</v>
      </c>
      <c r="F4" s="9" t="s">
        <v>234</v>
      </c>
    </row>
    <row r="5" spans="1:11" ht="30" x14ac:dyDescent="0.25">
      <c r="A5" s="50" t="s">
        <v>14</v>
      </c>
      <c r="B5" s="51" t="s">
        <v>75</v>
      </c>
      <c r="C5" s="52" t="s">
        <v>0</v>
      </c>
      <c r="D5" s="53" t="s">
        <v>233</v>
      </c>
      <c r="F5" s="53" t="s">
        <v>233</v>
      </c>
    </row>
    <row r="6" spans="1:11" x14ac:dyDescent="0.25">
      <c r="A6" s="54">
        <v>1</v>
      </c>
      <c r="B6" s="1" t="s">
        <v>235</v>
      </c>
      <c r="C6" s="1" t="s">
        <v>236</v>
      </c>
      <c r="D6" s="30">
        <v>4269786</v>
      </c>
      <c r="F6" s="30">
        <v>0</v>
      </c>
      <c r="H6" s="104"/>
    </row>
    <row r="7" spans="1:11" x14ac:dyDescent="0.25">
      <c r="A7" s="54">
        <v>2</v>
      </c>
      <c r="B7" s="1" t="s">
        <v>237</v>
      </c>
      <c r="C7" s="1" t="s">
        <v>238</v>
      </c>
      <c r="D7" s="30">
        <f>D6*0.27</f>
        <v>1152842.22</v>
      </c>
      <c r="F7" s="30">
        <v>0</v>
      </c>
    </row>
    <row r="8" spans="1:11" ht="28.5" x14ac:dyDescent="0.25">
      <c r="A8" s="54">
        <v>3</v>
      </c>
      <c r="B8" s="1" t="s">
        <v>239</v>
      </c>
      <c r="C8" s="1" t="s">
        <v>240</v>
      </c>
      <c r="D8" s="30">
        <v>0</v>
      </c>
      <c r="F8" s="30">
        <v>865000</v>
      </c>
    </row>
    <row r="9" spans="1:11" x14ac:dyDescent="0.25">
      <c r="A9" s="54">
        <v>4</v>
      </c>
      <c r="B9" s="1" t="s">
        <v>409</v>
      </c>
      <c r="C9" s="1" t="s">
        <v>304</v>
      </c>
      <c r="D9" s="30">
        <v>2597994</v>
      </c>
      <c r="F9" s="30">
        <v>0</v>
      </c>
    </row>
    <row r="10" spans="1:11" ht="15.75" x14ac:dyDescent="0.25">
      <c r="A10" s="33">
        <v>5</v>
      </c>
      <c r="B10" s="34" t="s">
        <v>98</v>
      </c>
      <c r="C10" s="35"/>
      <c r="D10" s="36">
        <f>SUM(D6:D9)</f>
        <v>8020622.2199999997</v>
      </c>
      <c r="F10" s="36">
        <f>SUM(F6:F9)</f>
        <v>865000</v>
      </c>
    </row>
    <row r="11" spans="1:11" x14ac:dyDescent="0.25">
      <c r="D11" s="104">
        <f>+D10-D9</f>
        <v>5422628.2199999997</v>
      </c>
    </row>
    <row r="13" spans="1:11" ht="30" x14ac:dyDescent="0.25">
      <c r="A13" s="179" t="s">
        <v>74</v>
      </c>
      <c r="B13" s="179"/>
      <c r="C13" s="179"/>
      <c r="D13" s="9" t="s">
        <v>234</v>
      </c>
      <c r="F13" s="9" t="s">
        <v>234</v>
      </c>
    </row>
    <row r="14" spans="1:11" ht="30" x14ac:dyDescent="0.25">
      <c r="A14" s="10" t="s">
        <v>14</v>
      </c>
      <c r="B14" s="20" t="s">
        <v>10</v>
      </c>
      <c r="C14" s="20" t="s">
        <v>0</v>
      </c>
      <c r="D14" s="53" t="s">
        <v>233</v>
      </c>
      <c r="F14" s="53" t="s">
        <v>382</v>
      </c>
    </row>
    <row r="15" spans="1:11" x14ac:dyDescent="0.25">
      <c r="A15" s="54">
        <v>1</v>
      </c>
      <c r="B15" s="1" t="s">
        <v>39</v>
      </c>
      <c r="C15" s="23" t="s">
        <v>115</v>
      </c>
      <c r="D15" s="30"/>
      <c r="F15" s="30">
        <f>SUM(F16:F16)</f>
        <v>0</v>
      </c>
    </row>
    <row r="16" spans="1:11" x14ac:dyDescent="0.25">
      <c r="A16" s="58">
        <v>2</v>
      </c>
      <c r="B16" s="4" t="s">
        <v>43</v>
      </c>
      <c r="C16" s="25"/>
      <c r="D16" s="39"/>
      <c r="F16" s="39"/>
    </row>
    <row r="17" spans="1:6" x14ac:dyDescent="0.25">
      <c r="A17" s="55">
        <v>3</v>
      </c>
      <c r="B17" s="2" t="s">
        <v>80</v>
      </c>
      <c r="C17" s="24" t="s">
        <v>116</v>
      </c>
      <c r="D17" s="30"/>
      <c r="F17" s="30">
        <f>F15</f>
        <v>0</v>
      </c>
    </row>
    <row r="18" spans="1:6" x14ac:dyDescent="0.25">
      <c r="A18" s="54">
        <v>4</v>
      </c>
      <c r="B18" s="1" t="s">
        <v>50</v>
      </c>
      <c r="C18" s="23" t="s">
        <v>120</v>
      </c>
      <c r="D18" s="30"/>
      <c r="F18" s="30">
        <f>F19</f>
        <v>10000</v>
      </c>
    </row>
    <row r="19" spans="1:6" x14ac:dyDescent="0.25">
      <c r="A19" s="58">
        <v>5</v>
      </c>
      <c r="B19" s="4" t="s">
        <v>241</v>
      </c>
      <c r="C19" s="25"/>
      <c r="D19" s="39"/>
      <c r="F19" s="39">
        <v>10000</v>
      </c>
    </row>
    <row r="20" spans="1:6" x14ac:dyDescent="0.25">
      <c r="A20" s="54">
        <v>6</v>
      </c>
      <c r="B20" s="1" t="s">
        <v>55</v>
      </c>
      <c r="C20" s="23" t="s">
        <v>123</v>
      </c>
      <c r="D20" s="30"/>
      <c r="F20" s="30"/>
    </row>
    <row r="21" spans="1:6" x14ac:dyDescent="0.25">
      <c r="A21" s="54">
        <v>7</v>
      </c>
      <c r="B21" s="1" t="s">
        <v>56</v>
      </c>
      <c r="C21" s="23" t="s">
        <v>125</v>
      </c>
      <c r="D21" s="30"/>
      <c r="F21" s="30">
        <v>50000</v>
      </c>
    </row>
    <row r="22" spans="1:6" x14ac:dyDescent="0.25">
      <c r="A22" s="55">
        <v>8</v>
      </c>
      <c r="B22" s="2" t="s">
        <v>85</v>
      </c>
      <c r="C22" s="24" t="s">
        <v>127</v>
      </c>
      <c r="D22" s="30"/>
      <c r="F22" s="30">
        <f>F18+F20+F21</f>
        <v>60000</v>
      </c>
    </row>
    <row r="23" spans="1:6" ht="28.5" x14ac:dyDescent="0.25">
      <c r="A23" s="54">
        <v>9</v>
      </c>
      <c r="B23" s="1" t="s">
        <v>59</v>
      </c>
      <c r="C23" s="23" t="s">
        <v>131</v>
      </c>
      <c r="D23" s="30"/>
      <c r="F23" s="30">
        <f>F21*0.27+F19*0.27+F20*0.27</f>
        <v>16200</v>
      </c>
    </row>
    <row r="24" spans="1:6" x14ac:dyDescent="0.25">
      <c r="A24" s="54">
        <v>10</v>
      </c>
      <c r="B24" s="1" t="s">
        <v>61</v>
      </c>
      <c r="C24" s="23" t="s">
        <v>134</v>
      </c>
      <c r="D24" s="30"/>
      <c r="F24" s="30"/>
    </row>
    <row r="25" spans="1:6" ht="30" x14ac:dyDescent="0.25">
      <c r="A25" s="55">
        <v>11</v>
      </c>
      <c r="B25" s="2" t="s">
        <v>88</v>
      </c>
      <c r="C25" s="24" t="s">
        <v>135</v>
      </c>
      <c r="D25" s="30"/>
      <c r="F25" s="30">
        <f>SUM(F23:F24)</f>
        <v>16200</v>
      </c>
    </row>
    <row r="26" spans="1:6" ht="15.75" x14ac:dyDescent="0.25">
      <c r="A26" s="41">
        <v>12</v>
      </c>
      <c r="B26" s="27" t="s">
        <v>89</v>
      </c>
      <c r="C26" s="27" t="s">
        <v>136</v>
      </c>
      <c r="D26" s="31"/>
      <c r="F26" s="31">
        <f>F17+F22+F25</f>
        <v>76200</v>
      </c>
    </row>
    <row r="27" spans="1:6" x14ac:dyDescent="0.25">
      <c r="A27" s="59">
        <v>13</v>
      </c>
      <c r="B27" s="6" t="s">
        <v>63</v>
      </c>
      <c r="C27" s="23" t="s">
        <v>141</v>
      </c>
      <c r="D27" s="30"/>
      <c r="F27" s="30"/>
    </row>
    <row r="28" spans="1:6" x14ac:dyDescent="0.25">
      <c r="A28" s="43">
        <v>14</v>
      </c>
      <c r="B28" s="28" t="s">
        <v>94</v>
      </c>
      <c r="C28" s="29" t="s">
        <v>142</v>
      </c>
      <c r="D28" s="32">
        <f>D27</f>
        <v>0</v>
      </c>
      <c r="F28" s="32">
        <f>F27</f>
        <v>0</v>
      </c>
    </row>
    <row r="29" spans="1:6" ht="31.5" x14ac:dyDescent="0.25">
      <c r="A29" s="42">
        <v>15</v>
      </c>
      <c r="B29" s="37" t="s">
        <v>64</v>
      </c>
      <c r="C29" s="37" t="s">
        <v>143</v>
      </c>
      <c r="D29" s="38">
        <f>D26+D28</f>
        <v>0</v>
      </c>
      <c r="F29" s="38">
        <f>F26+F28</f>
        <v>76200</v>
      </c>
    </row>
    <row r="30" spans="1:6" x14ac:dyDescent="0.25">
      <c r="A30" s="59">
        <v>16</v>
      </c>
      <c r="B30" s="6" t="s">
        <v>65</v>
      </c>
      <c r="C30" s="23" t="s">
        <v>144</v>
      </c>
      <c r="D30" s="30"/>
      <c r="F30" s="30"/>
    </row>
    <row r="31" spans="1:6" x14ac:dyDescent="0.25">
      <c r="A31" s="59">
        <v>17</v>
      </c>
      <c r="B31" s="6" t="s">
        <v>95</v>
      </c>
      <c r="C31" s="23" t="s">
        <v>145</v>
      </c>
      <c r="D31" s="30"/>
      <c r="F31" s="30"/>
    </row>
    <row r="32" spans="1:6" x14ac:dyDescent="0.25">
      <c r="A32" s="54">
        <v>18</v>
      </c>
      <c r="B32" s="1" t="s">
        <v>66</v>
      </c>
      <c r="C32" s="23" t="s">
        <v>146</v>
      </c>
      <c r="D32" s="30"/>
      <c r="F32" s="30"/>
    </row>
    <row r="33" spans="1:6" x14ac:dyDescent="0.25">
      <c r="A33" s="59">
        <v>19</v>
      </c>
      <c r="B33" s="6" t="s">
        <v>67</v>
      </c>
      <c r="C33" s="23" t="s">
        <v>147</v>
      </c>
      <c r="D33" s="30">
        <v>400000</v>
      </c>
      <c r="F33" s="30"/>
    </row>
    <row r="34" spans="1:6" ht="28.5" x14ac:dyDescent="0.25">
      <c r="A34" s="54">
        <v>20</v>
      </c>
      <c r="B34" s="1" t="s">
        <v>68</v>
      </c>
      <c r="C34" s="23" t="s">
        <v>148</v>
      </c>
      <c r="D34" s="30">
        <f>D33*0.27</f>
        <v>108000</v>
      </c>
      <c r="F34" s="30"/>
    </row>
    <row r="35" spans="1:6" x14ac:dyDescent="0.25">
      <c r="A35" s="43">
        <v>21</v>
      </c>
      <c r="B35" s="28" t="s">
        <v>96</v>
      </c>
      <c r="C35" s="29" t="s">
        <v>149</v>
      </c>
      <c r="D35" s="32">
        <f>SUM(D30:D34)</f>
        <v>508000</v>
      </c>
      <c r="F35" s="32">
        <f>SUM(F30:F34)</f>
        <v>0</v>
      </c>
    </row>
    <row r="36" spans="1:6" x14ac:dyDescent="0.25">
      <c r="A36" s="59">
        <v>22</v>
      </c>
      <c r="B36" s="6" t="s">
        <v>69</v>
      </c>
      <c r="C36" s="23" t="s">
        <v>150</v>
      </c>
      <c r="D36" s="30">
        <f>+(D9-D35)/1.27</f>
        <v>1645664.5669291338</v>
      </c>
      <c r="F36" s="30"/>
    </row>
    <row r="37" spans="1:6" x14ac:dyDescent="0.25">
      <c r="A37" s="59">
        <v>23</v>
      </c>
      <c r="B37" s="6" t="s">
        <v>70</v>
      </c>
      <c r="C37" s="23" t="s">
        <v>151</v>
      </c>
      <c r="D37" s="30"/>
      <c r="F37" s="30"/>
    </row>
    <row r="38" spans="1:6" x14ac:dyDescent="0.25">
      <c r="A38" s="59">
        <v>24</v>
      </c>
      <c r="B38" s="6" t="s">
        <v>71</v>
      </c>
      <c r="C38" s="23" t="s">
        <v>152</v>
      </c>
      <c r="D38" s="30"/>
      <c r="F38" s="30"/>
    </row>
    <row r="39" spans="1:6" ht="28.5" x14ac:dyDescent="0.25">
      <c r="A39" s="59">
        <v>25</v>
      </c>
      <c r="B39" s="6" t="s">
        <v>72</v>
      </c>
      <c r="C39" s="23" t="s">
        <v>153</v>
      </c>
      <c r="D39" s="30">
        <f>D36*0.27</f>
        <v>444329.43307086616</v>
      </c>
      <c r="F39" s="30">
        <f>F36*0.2</f>
        <v>0</v>
      </c>
    </row>
    <row r="40" spans="1:6" x14ac:dyDescent="0.25">
      <c r="A40" s="43">
        <v>26</v>
      </c>
      <c r="B40" s="28" t="s">
        <v>97</v>
      </c>
      <c r="C40" s="29" t="s">
        <v>154</v>
      </c>
      <c r="D40" s="32">
        <f>SUM(D36:D39)</f>
        <v>2089994</v>
      </c>
      <c r="F40" s="32">
        <f>SUM(F36:F39)</f>
        <v>0</v>
      </c>
    </row>
    <row r="41" spans="1:6" ht="32.25" thickBot="1" x14ac:dyDescent="0.3">
      <c r="A41" s="44">
        <v>27</v>
      </c>
      <c r="B41" s="45" t="s">
        <v>73</v>
      </c>
      <c r="C41" s="45" t="s">
        <v>155</v>
      </c>
      <c r="D41" s="46">
        <f>D35+D40</f>
        <v>2597994</v>
      </c>
      <c r="F41" s="46">
        <f>F35+F40</f>
        <v>0</v>
      </c>
    </row>
    <row r="42" spans="1:6" ht="18.75" thickBot="1" x14ac:dyDescent="0.3">
      <c r="A42" s="60">
        <v>28</v>
      </c>
      <c r="B42" s="47" t="s">
        <v>162</v>
      </c>
      <c r="C42" s="47" t="s">
        <v>163</v>
      </c>
      <c r="D42" s="48">
        <f>D29+D41</f>
        <v>2597994</v>
      </c>
      <c r="F42" s="48">
        <f>F29+F41</f>
        <v>76200</v>
      </c>
    </row>
    <row r="43" spans="1:6" x14ac:dyDescent="0.25">
      <c r="D43" s="104">
        <f>D10-D42</f>
        <v>5422628.2199999997</v>
      </c>
    </row>
  </sheetData>
  <mergeCells count="2">
    <mergeCell ref="A4:C4"/>
    <mergeCell ref="A13:C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15"/>
  <sheetViews>
    <sheetView topLeftCell="A5" zoomScale="160" zoomScaleNormal="160" workbookViewId="0">
      <selection activeCell="D7" sqref="D7"/>
    </sheetView>
  </sheetViews>
  <sheetFormatPr defaultRowHeight="15" x14ac:dyDescent="0.25"/>
  <cols>
    <col min="1" max="1" width="6.85546875" customWidth="1"/>
    <col min="2" max="2" width="44.5703125" customWidth="1"/>
    <col min="3" max="3" width="10.7109375" customWidth="1"/>
    <col min="4" max="4" width="20" customWidth="1"/>
    <col min="5" max="5" width="15.5703125" customWidth="1"/>
    <col min="6" max="6" width="18.140625" customWidth="1"/>
  </cols>
  <sheetData>
    <row r="2" spans="1:11" ht="20.25" x14ac:dyDescent="0.3">
      <c r="B2" s="67" t="s">
        <v>413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45" x14ac:dyDescent="0.25">
      <c r="A4" s="179" t="s">
        <v>187</v>
      </c>
      <c r="B4" s="179"/>
      <c r="C4" s="179"/>
      <c r="D4" s="9" t="s">
        <v>186</v>
      </c>
    </row>
    <row r="5" spans="1:11" ht="30" x14ac:dyDescent="0.25">
      <c r="A5" s="50" t="s">
        <v>14</v>
      </c>
      <c r="B5" s="51" t="s">
        <v>74</v>
      </c>
      <c r="C5" s="52" t="s">
        <v>0</v>
      </c>
      <c r="D5" s="53" t="s">
        <v>191</v>
      </c>
    </row>
    <row r="6" spans="1:11" ht="28.5" x14ac:dyDescent="0.25">
      <c r="A6" s="54">
        <v>1</v>
      </c>
      <c r="B6" s="1" t="s">
        <v>188</v>
      </c>
      <c r="C6" s="1" t="s">
        <v>140</v>
      </c>
      <c r="D6" s="30">
        <f>SUM(D7:D14)</f>
        <v>6583880</v>
      </c>
      <c r="E6" s="148"/>
    </row>
    <row r="7" spans="1:11" s="71" customFormat="1" x14ac:dyDescent="0.25">
      <c r="A7" s="58">
        <v>2</v>
      </c>
      <c r="B7" s="4" t="s">
        <v>189</v>
      </c>
      <c r="C7" s="4"/>
      <c r="D7" s="39">
        <v>2400000</v>
      </c>
    </row>
    <row r="8" spans="1:11" s="71" customFormat="1" x14ac:dyDescent="0.25">
      <c r="A8" s="58">
        <v>3</v>
      </c>
      <c r="B8" s="4" t="s">
        <v>429</v>
      </c>
      <c r="C8" s="4"/>
      <c r="D8" s="39">
        <f>2000000</f>
        <v>2000000</v>
      </c>
      <c r="E8" s="164">
        <v>110000</v>
      </c>
    </row>
    <row r="9" spans="1:11" s="71" customFormat="1" x14ac:dyDescent="0.25">
      <c r="A9" s="58">
        <v>4</v>
      </c>
      <c r="B9" s="4" t="s">
        <v>190</v>
      </c>
      <c r="C9" s="4"/>
      <c r="D9" s="39">
        <v>1500000</v>
      </c>
    </row>
    <row r="10" spans="1:11" s="71" customFormat="1" x14ac:dyDescent="0.25">
      <c r="A10" s="58">
        <v>5</v>
      </c>
      <c r="B10" s="4" t="s">
        <v>390</v>
      </c>
      <c r="C10" s="4"/>
      <c r="D10" s="39">
        <v>300000</v>
      </c>
    </row>
    <row r="11" spans="1:11" s="71" customFormat="1" x14ac:dyDescent="0.25">
      <c r="A11" s="58">
        <v>6</v>
      </c>
      <c r="B11" s="4" t="s">
        <v>365</v>
      </c>
      <c r="C11" s="4"/>
      <c r="D11" s="39">
        <v>300000</v>
      </c>
    </row>
    <row r="12" spans="1:11" s="71" customFormat="1" x14ac:dyDescent="0.25">
      <c r="A12" s="58"/>
      <c r="B12" s="4" t="s">
        <v>399</v>
      </c>
      <c r="C12" s="4"/>
      <c r="D12" s="39">
        <v>40000</v>
      </c>
    </row>
    <row r="13" spans="1:11" s="71" customFormat="1" x14ac:dyDescent="0.25">
      <c r="A13" s="58"/>
      <c r="B13" s="4" t="s">
        <v>400</v>
      </c>
      <c r="C13" s="4"/>
      <c r="D13" s="39">
        <v>5000</v>
      </c>
    </row>
    <row r="14" spans="1:11" s="71" customFormat="1" ht="28.5" x14ac:dyDescent="0.25">
      <c r="A14" s="58"/>
      <c r="B14" s="4" t="s">
        <v>401</v>
      </c>
      <c r="C14" s="4"/>
      <c r="D14" s="39">
        <v>38880</v>
      </c>
    </row>
    <row r="15" spans="1:11" ht="15.75" x14ac:dyDescent="0.25">
      <c r="A15" s="33">
        <v>7</v>
      </c>
      <c r="B15" s="34" t="s">
        <v>98</v>
      </c>
      <c r="C15" s="35" t="s">
        <v>140</v>
      </c>
      <c r="D15" s="36">
        <f>SUM(D6:D6)+E8</f>
        <v>6693880</v>
      </c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</vt:i4>
      </vt:variant>
    </vt:vector>
  </HeadingPairs>
  <TitlesOfParts>
    <vt:vector size="16" baseType="lpstr">
      <vt:lpstr>ÖSSZESÍTŐ</vt:lpstr>
      <vt:lpstr>Közhatalmi bevételek</vt:lpstr>
      <vt:lpstr>Település-üzemeltetés</vt:lpstr>
      <vt:lpstr>Szociális feladatok</vt:lpstr>
      <vt:lpstr>Kulturális feladatok</vt:lpstr>
      <vt:lpstr>Művelődési feladatok</vt:lpstr>
      <vt:lpstr>Közmunkaprogram</vt:lpstr>
      <vt:lpstr>Koncessziós díj és vízterm.</vt:lpstr>
      <vt:lpstr>Civil szervezetek</vt:lpstr>
      <vt:lpstr>Ravatalozó</vt:lpstr>
      <vt:lpstr>Sportpálya</vt:lpstr>
      <vt:lpstr>Hivatal felújítás pályázat</vt:lpstr>
      <vt:lpstr>Vis maior - Kinizsi u.</vt:lpstr>
      <vt:lpstr>Vis maior - Török u.</vt:lpstr>
      <vt:lpstr>Téli rezsicsökkentés pályázat</vt:lpstr>
      <vt:lpstr>ÖSSZESÍTŐ!Nyomtatási_terület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Penzugy1</dc:creator>
  <cp:lastModifiedBy>Jegyzo</cp:lastModifiedBy>
  <cp:lastPrinted>2017-02-13T13:55:08Z</cp:lastPrinted>
  <dcterms:created xsi:type="dcterms:W3CDTF">2017-02-01T09:06:42Z</dcterms:created>
  <dcterms:modified xsi:type="dcterms:W3CDTF">2019-03-29T08:31:12Z</dcterms:modified>
</cp:coreProperties>
</file>